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tatiana.silva.PC-04\Downloads\"/>
    </mc:Choice>
  </mc:AlternateContent>
  <xr:revisionPtr revIDLastSave="0" documentId="13_ncr:1_{0C124012-E05F-4C46-8ABE-D7B1E170CCC1}" xr6:coauthVersionLast="47" xr6:coauthVersionMax="47" xr10:uidLastSave="{00000000-0000-0000-0000-000000000000}"/>
  <bookViews>
    <workbookView xWindow="-110" yWindow="-110" windowWidth="19420" windowHeight="10420" tabRatio="599" firstSheet="2" activeTab="2" xr2:uid="{00000000-000D-0000-FFFF-FFFF00000000}"/>
  </bookViews>
  <sheets>
    <sheet name="Precio Historico" sheetId="6" state="hidden" r:id="rId1"/>
    <sheet name="RESUMEN" sheetId="14" state="hidden" r:id="rId2"/>
    <sheet name="Flujo de Proyeccion" sheetId="15" r:id="rId3"/>
  </sheets>
  <externalReferences>
    <externalReference r:id="rId4"/>
    <externalReference r:id="rId5"/>
  </externalReferences>
  <definedNames>
    <definedName name="_xlcn.WorksheetConnection_FinancialProjectionsK86K1021" hidden="1">'[1]Financial Projections'!$K$86:$K$102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Financial Projections!$K$86:$K$102"/>
        </x15:modelTables>
      </x15:dataModel>
    </ext>
  </extLst>
</workbook>
</file>

<file path=xl/calcChain.xml><?xml version="1.0" encoding="utf-8"?>
<calcChain xmlns="http://schemas.openxmlformats.org/spreadsheetml/2006/main">
  <c r="B64" i="15" l="1"/>
  <c r="C53" i="15"/>
  <c r="C54" i="15" s="1"/>
  <c r="B53" i="15"/>
  <c r="B54" i="15" s="1"/>
  <c r="V52" i="15"/>
  <c r="U52" i="15"/>
  <c r="T52" i="15"/>
  <c r="S52" i="15"/>
  <c r="R52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D52" i="15"/>
  <c r="D53" i="15" s="1"/>
  <c r="C52" i="15"/>
  <c r="B52" i="15"/>
  <c r="D51" i="15"/>
  <c r="E51" i="15" s="1"/>
  <c r="B44" i="15"/>
  <c r="C42" i="15"/>
  <c r="B42" i="15"/>
  <c r="D43" i="15"/>
  <c r="E43" i="15"/>
  <c r="F43" i="15"/>
  <c r="C43" i="15"/>
  <c r="C19" i="15"/>
  <c r="E42" i="15"/>
  <c r="D42" i="15"/>
  <c r="F42" i="15"/>
  <c r="B33" i="15"/>
  <c r="B31" i="15"/>
  <c r="B32" i="15" s="1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D30" i="15"/>
  <c r="D31" i="15" s="1"/>
  <c r="C30" i="15"/>
  <c r="C31" i="15" s="1"/>
  <c r="B30" i="15"/>
  <c r="D29" i="15"/>
  <c r="E29" i="15" s="1"/>
  <c r="E5" i="15"/>
  <c r="F5" i="15"/>
  <c r="G5" i="15"/>
  <c r="H5" i="15" s="1"/>
  <c r="I5" i="15" s="1"/>
  <c r="J5" i="15" s="1"/>
  <c r="K5" i="15" s="1"/>
  <c r="L5" i="15" s="1"/>
  <c r="M5" i="15" s="1"/>
  <c r="N5" i="15" s="1"/>
  <c r="O5" i="15" s="1"/>
  <c r="P5" i="15" s="1"/>
  <c r="Q5" i="15" s="1"/>
  <c r="R5" i="15" s="1"/>
  <c r="S5" i="15" s="1"/>
  <c r="T5" i="15" s="1"/>
  <c r="U5" i="15" s="1"/>
  <c r="V5" i="15" s="1"/>
  <c r="D5" i="15"/>
  <c r="F6" i="15"/>
  <c r="E53" i="15" l="1"/>
  <c r="F51" i="15"/>
  <c r="G51" i="15" s="1"/>
  <c r="H51" i="15" s="1"/>
  <c r="I51" i="15" s="1"/>
  <c r="D54" i="15"/>
  <c r="D55" i="15"/>
  <c r="D64" i="15" s="1"/>
  <c r="D65" i="15" s="1"/>
  <c r="F53" i="15"/>
  <c r="G53" i="15"/>
  <c r="H53" i="15"/>
  <c r="B55" i="15"/>
  <c r="C55" i="15"/>
  <c r="E31" i="15"/>
  <c r="F29" i="15"/>
  <c r="G29" i="15" s="1"/>
  <c r="H29" i="15" s="1"/>
  <c r="C32" i="15"/>
  <c r="C33" i="15"/>
  <c r="D33" i="15"/>
  <c r="D32" i="15"/>
  <c r="F31" i="15"/>
  <c r="G31" i="15"/>
  <c r="F7" i="15"/>
  <c r="F9" i="15" s="1"/>
  <c r="F18" i="15" s="1"/>
  <c r="E54" i="15" l="1"/>
  <c r="E55" i="15"/>
  <c r="E64" i="15" s="1"/>
  <c r="E65" i="15" s="1"/>
  <c r="C64" i="15"/>
  <c r="H54" i="15"/>
  <c r="H55" i="15"/>
  <c r="G55" i="15"/>
  <c r="G64" i="15" s="1"/>
  <c r="G54" i="15"/>
  <c r="F55" i="15"/>
  <c r="F64" i="15" s="1"/>
  <c r="F65" i="15" s="1"/>
  <c r="F54" i="15"/>
  <c r="I53" i="15"/>
  <c r="J51" i="15"/>
  <c r="F33" i="15"/>
  <c r="F32" i="15"/>
  <c r="G32" i="15"/>
  <c r="G33" i="15"/>
  <c r="G42" i="15" s="1"/>
  <c r="H31" i="15"/>
  <c r="I29" i="15"/>
  <c r="E33" i="15"/>
  <c r="E32" i="15"/>
  <c r="H64" i="15" l="1"/>
  <c r="H65" i="15" s="1"/>
  <c r="G65" i="15"/>
  <c r="J53" i="15"/>
  <c r="K51" i="15"/>
  <c r="I54" i="15"/>
  <c r="I55" i="15"/>
  <c r="C65" i="15"/>
  <c r="B66" i="15"/>
  <c r="B67" i="15"/>
  <c r="H42" i="15"/>
  <c r="H43" i="15" s="1"/>
  <c r="G43" i="15"/>
  <c r="H32" i="15"/>
  <c r="H33" i="15"/>
  <c r="J29" i="15"/>
  <c r="I31" i="15"/>
  <c r="K53" i="15" l="1"/>
  <c r="L51" i="15"/>
  <c r="J54" i="15"/>
  <c r="J55" i="15"/>
  <c r="B45" i="15"/>
  <c r="I32" i="15"/>
  <c r="I33" i="15"/>
  <c r="K29" i="15"/>
  <c r="J31" i="15"/>
  <c r="M51" i="15" l="1"/>
  <c r="L53" i="15"/>
  <c r="K54" i="15"/>
  <c r="K55" i="15"/>
  <c r="J32" i="15"/>
  <c r="J33" i="15"/>
  <c r="L29" i="15"/>
  <c r="K31" i="15"/>
  <c r="L54" i="15" l="1"/>
  <c r="L55" i="15"/>
  <c r="N51" i="15"/>
  <c r="M53" i="15"/>
  <c r="K32" i="15"/>
  <c r="K33" i="15"/>
  <c r="M29" i="15"/>
  <c r="L31" i="15"/>
  <c r="M55" i="15" l="1"/>
  <c r="M54" i="15"/>
  <c r="O51" i="15"/>
  <c r="N53" i="15"/>
  <c r="L33" i="15"/>
  <c r="L32" i="15"/>
  <c r="N29" i="15"/>
  <c r="M31" i="15"/>
  <c r="P51" i="15" l="1"/>
  <c r="O53" i="15"/>
  <c r="N55" i="15"/>
  <c r="N54" i="15"/>
  <c r="O29" i="15"/>
  <c r="N31" i="15"/>
  <c r="M33" i="15"/>
  <c r="M32" i="15"/>
  <c r="O55" i="15" l="1"/>
  <c r="O54" i="15"/>
  <c r="Q51" i="15"/>
  <c r="P53" i="15"/>
  <c r="N33" i="15"/>
  <c r="N32" i="15"/>
  <c r="P29" i="15"/>
  <c r="O31" i="15"/>
  <c r="P55" i="15" l="1"/>
  <c r="P54" i="15"/>
  <c r="Q53" i="15"/>
  <c r="R51" i="15"/>
  <c r="P31" i="15"/>
  <c r="Q29" i="15"/>
  <c r="O33" i="15"/>
  <c r="O32" i="15"/>
  <c r="R53" i="15" l="1"/>
  <c r="S51" i="15"/>
  <c r="Q54" i="15"/>
  <c r="Q55" i="15"/>
  <c r="Q31" i="15"/>
  <c r="R29" i="15"/>
  <c r="P32" i="15"/>
  <c r="P33" i="15"/>
  <c r="R54" i="15" l="1"/>
  <c r="R55" i="15"/>
  <c r="S53" i="15"/>
  <c r="T51" i="15"/>
  <c r="S29" i="15"/>
  <c r="R31" i="15"/>
  <c r="Q32" i="15"/>
  <c r="Q33" i="15"/>
  <c r="U51" i="15" l="1"/>
  <c r="T53" i="15"/>
  <c r="S54" i="15"/>
  <c r="S55" i="15"/>
  <c r="R32" i="15"/>
  <c r="R33" i="15"/>
  <c r="T29" i="15"/>
  <c r="S31" i="15"/>
  <c r="T54" i="15" l="1"/>
  <c r="T55" i="15"/>
  <c r="V51" i="15"/>
  <c r="V53" i="15" s="1"/>
  <c r="U53" i="15"/>
  <c r="U29" i="15"/>
  <c r="T31" i="15"/>
  <c r="S32" i="15"/>
  <c r="S33" i="15"/>
  <c r="U54" i="15" l="1"/>
  <c r="U55" i="15"/>
  <c r="V55" i="15"/>
  <c r="V54" i="15"/>
  <c r="T33" i="15"/>
  <c r="T32" i="15"/>
  <c r="V29" i="15"/>
  <c r="V31" i="15" s="1"/>
  <c r="U31" i="15"/>
  <c r="W55" i="15" l="1"/>
  <c r="W56" i="15"/>
  <c r="V33" i="15"/>
  <c r="V32" i="15"/>
  <c r="U33" i="15"/>
  <c r="U32" i="15"/>
  <c r="W33" i="15" l="1"/>
  <c r="W34" i="15"/>
  <c r="B18" i="15" l="1"/>
  <c r="B9" i="15" l="1"/>
  <c r="V6" i="15" l="1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D6" i="15"/>
  <c r="C6" i="15"/>
  <c r="C7" i="15" s="1"/>
  <c r="B6" i="15"/>
  <c r="B7" i="15" s="1"/>
  <c r="B8" i="15" l="1"/>
  <c r="D7" i="15"/>
  <c r="G7" i="15"/>
  <c r="E7" i="15"/>
  <c r="C9" i="15" l="1"/>
  <c r="C18" i="15" s="1"/>
  <c r="C8" i="15"/>
  <c r="G8" i="15"/>
  <c r="G9" i="15"/>
  <c r="G18" i="15" s="1"/>
  <c r="F19" i="15"/>
  <c r="F8" i="15"/>
  <c r="E8" i="15"/>
  <c r="E9" i="15"/>
  <c r="D8" i="15"/>
  <c r="D9" i="15"/>
  <c r="D18" i="15" s="1"/>
  <c r="J7" i="15"/>
  <c r="I7" i="15"/>
  <c r="H7" i="15"/>
  <c r="K7" i="15"/>
  <c r="I33" i="14"/>
  <c r="J33" i="14" s="1"/>
  <c r="D40" i="14"/>
  <c r="G30" i="14" s="1"/>
  <c r="H24" i="14"/>
  <c r="G24" i="14"/>
  <c r="I24" i="14"/>
  <c r="J23" i="14"/>
  <c r="J22" i="14"/>
  <c r="J21" i="14"/>
  <c r="C11" i="14"/>
  <c r="C3" i="14"/>
  <c r="D3" i="14" s="1"/>
  <c r="O5" i="6"/>
  <c r="O6" i="6"/>
  <c r="O7" i="6" s="1"/>
  <c r="O8" i="6" s="1"/>
  <c r="J24" i="14"/>
  <c r="E18" i="15" l="1"/>
  <c r="H18" i="15"/>
  <c r="F30" i="14"/>
  <c r="J12" i="14" s="1"/>
  <c r="J30" i="14"/>
  <c r="D49" i="14"/>
  <c r="H30" i="14"/>
  <c r="J14" i="14" s="1"/>
  <c r="D19" i="15"/>
  <c r="E40" i="14"/>
  <c r="E58" i="14"/>
  <c r="C12" i="14"/>
  <c r="C13" i="14" s="1"/>
  <c r="I8" i="15"/>
  <c r="I9" i="15"/>
  <c r="J8" i="15"/>
  <c r="J9" i="15"/>
  <c r="K8" i="15"/>
  <c r="K9" i="15"/>
  <c r="H9" i="15"/>
  <c r="H8" i="15"/>
  <c r="L7" i="15"/>
  <c r="E19" i="15" l="1"/>
  <c r="B21" i="15"/>
  <c r="B20" i="15"/>
  <c r="G19" i="15"/>
  <c r="L9" i="15"/>
  <c r="L8" i="15"/>
  <c r="M7" i="15"/>
  <c r="M8" i="15" l="1"/>
  <c r="M9" i="15"/>
  <c r="N7" i="15"/>
  <c r="N8" i="15" l="1"/>
  <c r="N9" i="15"/>
  <c r="O7" i="15"/>
  <c r="O8" i="15" l="1"/>
  <c r="O9" i="15"/>
  <c r="P7" i="15"/>
  <c r="P9" i="15" l="1"/>
  <c r="P8" i="15"/>
  <c r="Q7" i="15"/>
  <c r="Q8" i="15" l="1"/>
  <c r="Q9" i="15"/>
  <c r="R7" i="15"/>
  <c r="F49" i="14"/>
  <c r="F58" i="14"/>
  <c r="F40" i="14"/>
  <c r="R8" i="15" l="1"/>
  <c r="R9" i="15"/>
  <c r="S7" i="15"/>
  <c r="F50" i="14"/>
  <c r="F51" i="14" s="1"/>
  <c r="F41" i="14"/>
  <c r="F42" i="14" s="1"/>
  <c r="S8" i="15" l="1"/>
  <c r="S9" i="15"/>
  <c r="T7" i="15"/>
  <c r="H58" i="14"/>
  <c r="H49" i="14"/>
  <c r="H50" i="14" s="1"/>
  <c r="H51" i="14" s="1"/>
  <c r="H40" i="14"/>
  <c r="H41" i="14" s="1"/>
  <c r="H42" i="14" s="1"/>
  <c r="G49" i="14"/>
  <c r="G58" i="14"/>
  <c r="G40" i="14"/>
  <c r="I49" i="14"/>
  <c r="I58" i="14"/>
  <c r="I40" i="14"/>
  <c r="T9" i="15" l="1"/>
  <c r="T8" i="15"/>
  <c r="V7" i="15"/>
  <c r="U7" i="15"/>
  <c r="G41" i="14"/>
  <c r="G42" i="14" s="1"/>
  <c r="C44" i="14"/>
  <c r="I41" i="14"/>
  <c r="I42" i="14" s="1"/>
  <c r="J40" i="14"/>
  <c r="J41" i="14" s="1"/>
  <c r="J58" i="14"/>
  <c r="J59" i="14" s="1"/>
  <c r="G50" i="14"/>
  <c r="G51" i="14" s="1"/>
  <c r="L49" i="14"/>
  <c r="L51" i="14" s="1"/>
  <c r="I50" i="14"/>
  <c r="I51" i="14" s="1"/>
  <c r="J49" i="14"/>
  <c r="C53" i="14" s="1"/>
  <c r="U9" i="15" l="1"/>
  <c r="U8" i="15"/>
  <c r="V8" i="15"/>
  <c r="V9" i="15"/>
  <c r="C52" i="14"/>
  <c r="C43" i="14"/>
  <c r="W9" i="15" l="1"/>
  <c r="W10" i="15"/>
  <c r="H19" i="15"/>
  <c r="C62" i="14" l="1"/>
  <c r="D4" i="14" l="1"/>
  <c r="D5" i="14" s="1"/>
  <c r="L53" i="14"/>
  <c r="M53" i="14" s="1"/>
  <c r="D9" i="14" l="1"/>
  <c r="D17" i="14" s="1"/>
  <c r="D6" i="14"/>
  <c r="D14" i="14" s="1"/>
  <c r="D7" i="14"/>
  <c r="D15" i="14" s="1"/>
  <c r="C21" i="14"/>
  <c r="D8" i="14"/>
  <c r="D16" i="14" s="1"/>
  <c r="C23" i="14" l="1"/>
  <c r="C24" i="14" l="1"/>
  <c r="C26" i="14" l="1"/>
  <c r="C27" i="14" s="1"/>
  <c r="C29" i="14" s="1"/>
  <c r="C30" i="14" l="1"/>
  <c r="C31" i="14"/>
  <c r="C33" i="14" l="1"/>
  <c r="C35" i="14" s="1"/>
  <c r="D58" i="14" s="1"/>
  <c r="I59" i="14" l="1"/>
  <c r="I60" i="14" s="1"/>
  <c r="H59" i="14"/>
  <c r="H60" i="14" s="1"/>
  <c r="G59" i="14"/>
  <c r="G60" i="14" s="1"/>
  <c r="F59" i="14"/>
  <c r="F60" i="14" s="1"/>
  <c r="C61" i="1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Financial Projections!$K$86:$K$102" type="102" refreshedVersion="6" minRefreshableVersion="5">
    <extLst>
      <ext xmlns:x15="http://schemas.microsoft.com/office/spreadsheetml/2010/11/main" uri="{DE250136-89BD-433C-8126-D09CA5730AF9}">
        <x15:connection id="Range">
          <x15:rangePr sourceName="_xlcn.WorksheetConnection_FinancialProjectionsK86K1021"/>
        </x15:connection>
      </ext>
    </extLst>
  </connection>
</connections>
</file>

<file path=xl/sharedStrings.xml><?xml version="1.0" encoding="utf-8"?>
<sst xmlns="http://schemas.openxmlformats.org/spreadsheetml/2006/main" count="251" uniqueCount="164">
  <si>
    <t>Arboles por hectárea</t>
  </si>
  <si>
    <t>Hectareas</t>
  </si>
  <si>
    <t>TOTAL</t>
  </si>
  <si>
    <t>Año 2</t>
  </si>
  <si>
    <t>Año 3</t>
  </si>
  <si>
    <t>Año 4</t>
  </si>
  <si>
    <t>Año 5</t>
  </si>
  <si>
    <t>VAN</t>
  </si>
  <si>
    <t>Fecha</t>
  </si>
  <si>
    <t>Precio</t>
  </si>
  <si>
    <t>Var. %</t>
  </si>
  <si>
    <t>MUNDO</t>
  </si>
  <si>
    <t>Dec. 31, 1969</t>
  </si>
  <si>
    <t>Año</t>
  </si>
  <si>
    <t>Valor Mdo</t>
  </si>
  <si>
    <t>Dec. 31, 1970</t>
  </si>
  <si>
    <t>Dec. 31, 1971</t>
  </si>
  <si>
    <t>Dec. 31, 1972</t>
  </si>
  <si>
    <t>Dec. 31, 1973</t>
  </si>
  <si>
    <t>Dec. 31, 1974</t>
  </si>
  <si>
    <t>Dec. 31, 1975</t>
  </si>
  <si>
    <t>Dec. 31, 1976</t>
  </si>
  <si>
    <t>Dec. 31, 1977</t>
  </si>
  <si>
    <t>Dec. 31, 1978</t>
  </si>
  <si>
    <t>Dec. 31, 1979</t>
  </si>
  <si>
    <t>Dec. 31, 1980</t>
  </si>
  <si>
    <t>Dec. 31, 1981</t>
  </si>
  <si>
    <t>Dec. 31, 1982</t>
  </si>
  <si>
    <t>Dec. 31, 1983</t>
  </si>
  <si>
    <t>Dec. 31, 1984</t>
  </si>
  <si>
    <t>Dec. 31, 1985</t>
  </si>
  <si>
    <t>Dec. 31, 1986</t>
  </si>
  <si>
    <t>Dec. 31, 1987</t>
  </si>
  <si>
    <t>Dec. 31, 1988</t>
  </si>
  <si>
    <t>Dec. 31, 1989</t>
  </si>
  <si>
    <t>Dec. 31, 1990</t>
  </si>
  <si>
    <t>Dec. 31, 1991</t>
  </si>
  <si>
    <t>Dec. 31, 1992</t>
  </si>
  <si>
    <t>Dec. 31, 1993</t>
  </si>
  <si>
    <t>Dec. 31, 1994</t>
  </si>
  <si>
    <t>Dec. 31, 1995</t>
  </si>
  <si>
    <t>Dec. 31, 1996</t>
  </si>
  <si>
    <t>Dec. 31, 1997</t>
  </si>
  <si>
    <t>Dec. 31, 1998</t>
  </si>
  <si>
    <t>Dec. 31, 1999</t>
  </si>
  <si>
    <t>Dec. 31, 2000</t>
  </si>
  <si>
    <t>Dec. 31, 2001</t>
  </si>
  <si>
    <t>Dec. 31, 2002</t>
  </si>
  <si>
    <t>Dec. 31, 2003</t>
  </si>
  <si>
    <t>Dec. 31, 2004</t>
  </si>
  <si>
    <t>Dec. 31, 2005</t>
  </si>
  <si>
    <t>Dec. 31, 2006</t>
  </si>
  <si>
    <t>Dec. 31, 2007</t>
  </si>
  <si>
    <t>Dec. 31, 2008</t>
  </si>
  <si>
    <t>Dec. 31, 2009</t>
  </si>
  <si>
    <t>Dec. 31, 2010</t>
  </si>
  <si>
    <t>Dec. 31, 2011</t>
  </si>
  <si>
    <t>Dec. 31, 2013</t>
  </si>
  <si>
    <t>Dec. 31, 2014</t>
  </si>
  <si>
    <t>Dec. 31, 2015</t>
  </si>
  <si>
    <t>Dec. 31, 2016</t>
  </si>
  <si>
    <t>Dec. 31, 2017</t>
  </si>
  <si>
    <t>Dec. 31, 2018</t>
  </si>
  <si>
    <t>Dec. 31, 2019</t>
  </si>
  <si>
    <t>INFORMACION INVERSIONISTAS</t>
  </si>
  <si>
    <t>Kap Requerido Año 0-3</t>
  </si>
  <si>
    <t>Costo X Arbol</t>
  </si>
  <si>
    <t>Descuento X Arbol Fase1</t>
  </si>
  <si>
    <t>Descuento X Arbol Fase2</t>
  </si>
  <si>
    <t>Descuento X Arbol Fase3</t>
  </si>
  <si>
    <t>Descuento X Arbol Fase4</t>
  </si>
  <si>
    <t>Ganancia Total</t>
  </si>
  <si>
    <t>Ganancia Por arbol</t>
  </si>
  <si>
    <t>Hipoteca</t>
  </si>
  <si>
    <t>garantia</t>
  </si>
  <si>
    <t>Ganancia Promedio Anual</t>
  </si>
  <si>
    <t>areas</t>
  </si>
  <si>
    <t>contable - financiero</t>
  </si>
  <si>
    <t xml:space="preserve">area 1 </t>
  </si>
  <si>
    <t>Ganancia Por arbol Fase1 Promedio</t>
  </si>
  <si>
    <t>3 Años</t>
  </si>
  <si>
    <t>% distribuible</t>
  </si>
  <si>
    <t>inversi</t>
  </si>
  <si>
    <t>Ganancia Por arbol Fase2</t>
  </si>
  <si>
    <t>2,5 Años</t>
  </si>
  <si>
    <t>Ganancia Por arbol Fase3</t>
  </si>
  <si>
    <t>2 Años</t>
  </si>
  <si>
    <t>Ganancia Por arbol Fase4</t>
  </si>
  <si>
    <t>1 Año</t>
  </si>
  <si>
    <t>COSTO DE PRECIO DE VENTA</t>
  </si>
  <si>
    <t>AREA 1</t>
  </si>
  <si>
    <t>AREA 2</t>
  </si>
  <si>
    <t>AREA 3</t>
  </si>
  <si>
    <t>Costo</t>
  </si>
  <si>
    <t>Admin %</t>
  </si>
  <si>
    <t>Premium Hipoteca</t>
  </si>
  <si>
    <t>Admin</t>
  </si>
  <si>
    <t>Estandar</t>
  </si>
  <si>
    <t>Costo +Admin</t>
  </si>
  <si>
    <t>Total participaciones</t>
  </si>
  <si>
    <t>Costo de adquisición %</t>
  </si>
  <si>
    <t>Costo de adquisición</t>
  </si>
  <si>
    <t>Costo +Admin+Costo de adquisición</t>
  </si>
  <si>
    <t>Costo Comercial %</t>
  </si>
  <si>
    <t>Modificar el Presupuesto</t>
  </si>
  <si>
    <t>Costo Comercial</t>
  </si>
  <si>
    <t>m2</t>
  </si>
  <si>
    <t>participación</t>
  </si>
  <si>
    <t>% participación</t>
  </si>
  <si>
    <t>Presupuesto</t>
  </si>
  <si>
    <t>inversión total</t>
  </si>
  <si>
    <t>TOTAL SOBRE COSTOS</t>
  </si>
  <si>
    <t>Costo Admi + UTN %</t>
  </si>
  <si>
    <t>Terreno</t>
  </si>
  <si>
    <t>Valor Hectarea</t>
  </si>
  <si>
    <t>Total Terreno</t>
  </si>
  <si>
    <t>% del Terreno de acuerdo a la inversión</t>
  </si>
  <si>
    <t>Costo Admi + UTN</t>
  </si>
  <si>
    <t>PRIMA DE SOBRECOSTO</t>
  </si>
  <si>
    <t>PRECIO FINAL</t>
  </si>
  <si>
    <t>FLUJO NETO DEL INVERSIONISTA 1 VITE PREMIUM ETAPA 1</t>
  </si>
  <si>
    <t>VT</t>
  </si>
  <si>
    <t>VITE</t>
  </si>
  <si>
    <t>Rentabilidad Anualizada %</t>
  </si>
  <si>
    <t>TIR</t>
  </si>
  <si>
    <t>FLUJO NETO DEL INVERSIONISTA ETAPA 1 COMPLETA 37 VITES PREMIUM  (MINIMO)</t>
  </si>
  <si>
    <t>Total Acumulado Aproximado 5 años</t>
  </si>
  <si>
    <t>Arbol</t>
  </si>
  <si>
    <t>Recuperado el 100% del capital</t>
  </si>
  <si>
    <t>Rentabilidad Anualizada- Devaluación</t>
  </si>
  <si>
    <t>Utilidad adicional</t>
  </si>
  <si>
    <t>Total Acumulado Aproximado 10 años</t>
  </si>
  <si>
    <t>FLUJO NETO DEL INVERSIONISTA 1 VITE ESTANDAR ETAPA 2</t>
  </si>
  <si>
    <t>Valor Aguacate</t>
  </si>
  <si>
    <t>Año 0</t>
  </si>
  <si>
    <t>Año 1</t>
  </si>
  <si>
    <t>Año 6</t>
  </si>
  <si>
    <t>Año 7</t>
  </si>
  <si>
    <t>Año 8</t>
  </si>
  <si>
    <t>Año 9</t>
  </si>
  <si>
    <t>Año 10</t>
  </si>
  <si>
    <t>Año 11</t>
  </si>
  <si>
    <t>Año 12</t>
  </si>
  <si>
    <t>Año 13</t>
  </si>
  <si>
    <t>Año 14</t>
  </si>
  <si>
    <t>Año 15</t>
  </si>
  <si>
    <t>Año 16</t>
  </si>
  <si>
    <t>Año 17</t>
  </si>
  <si>
    <t>Año 18</t>
  </si>
  <si>
    <t>Año 19</t>
  </si>
  <si>
    <t>Año 20</t>
  </si>
  <si>
    <t>VITES</t>
  </si>
  <si>
    <t>Valor Total Venta Anual</t>
  </si>
  <si>
    <t>DESCUENTO</t>
  </si>
  <si>
    <t>Cobro 30% por Reventa Avovite</t>
  </si>
  <si>
    <t xml:space="preserve">Ingreso Neto 70% </t>
  </si>
  <si>
    <t>FLUJO NETO DEL COMPRADOR</t>
  </si>
  <si>
    <t>Compra</t>
  </si>
  <si>
    <t>Utilidad Aproximada Anualizada %</t>
  </si>
  <si>
    <t>Producción Estimada x Árbol (KG Año)</t>
  </si>
  <si>
    <t>Total Producción</t>
  </si>
  <si>
    <t>EJEMPLO 1</t>
  </si>
  <si>
    <t>EJEMPLO 2</t>
  </si>
  <si>
    <t>EJEMPLO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</si>
</sst>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164" formatCode="&quot;$&quot;#,##0;[Red]\-&quot;$&quot;#,##0"/>
    <numFmt numFmtId="165" formatCode="&quot;$&quot;#,##0.00;[Red]\-&quot;$&quot;#,##0.00"/>
    <numFmt numFmtId="166" formatCode="_-&quot;$&quot;* #,##0_-;\-&quot;$&quot;* #,##0_-;_-&quot;$&quot;* &quot;-&quot;_-;_-@_-"/>
    <numFmt numFmtId="167" formatCode="_-&quot;$&quot;* #,##0.00_-;\-&quot;$&quot;* #,##0.00_-;_-&quot;$&quot;* &quot;-&quot;??_-;_-@_-"/>
    <numFmt numFmtId="168" formatCode="0.0%"/>
    <numFmt numFmtId="169" formatCode="_-&quot;$&quot;* #,##0_-;\-&quot;$&quot;* #,##0_-;_-&quot;$&quot;* &quot;-&quot;??_-;_-@_-"/>
    <numFmt numFmtId="170" formatCode="0.000%"/>
    <numFmt numFmtId="171" formatCode="&quot;$&quot;#,##0;[Red]&quot;$&quot;#,##0"/>
    <numFmt numFmtId="172" formatCode="_-&quot;$&quot;* #,##0.00_-;\-&quot;$&quot;* #,##0.00_-;_-&quot;$&quot;* &quot;-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FFFFFF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548235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7030A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18">
    <xf numFmtId="0" fontId="0" fillId="0" borderId="0" xfId="0"/>
    <xf numFmtId="9" fontId="0" fillId="0" borderId="0" xfId="2" applyFont="1"/>
    <xf numFmtId="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" fontId="0" fillId="0" borderId="0" xfId="0" applyNumberFormat="1"/>
    <xf numFmtId="0" fontId="0" fillId="0" borderId="1" xfId="0" applyBorder="1"/>
    <xf numFmtId="166" fontId="0" fillId="0" borderId="0" xfId="0" applyNumberFormat="1"/>
    <xf numFmtId="166" fontId="0" fillId="0" borderId="0" xfId="1" applyFont="1" applyBorder="1"/>
    <xf numFmtId="10" fontId="0" fillId="0" borderId="0" xfId="2" applyNumberFormat="1" applyFont="1"/>
    <xf numFmtId="169" fontId="0" fillId="0" borderId="0" xfId="4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166" fontId="0" fillId="0" borderId="0" xfId="1" applyFont="1"/>
    <xf numFmtId="0" fontId="0" fillId="0" borderId="1" xfId="0" applyBorder="1" applyAlignment="1">
      <alignment horizontal="center"/>
    </xf>
    <xf numFmtId="166" fontId="0" fillId="0" borderId="4" xfId="1" applyFont="1" applyBorder="1" applyAlignment="1">
      <alignment horizontal="center"/>
    </xf>
    <xf numFmtId="0" fontId="0" fillId="0" borderId="6" xfId="0" applyBorder="1" applyAlignment="1">
      <alignment horizontal="center"/>
    </xf>
    <xf numFmtId="166" fontId="0" fillId="0" borderId="7" xfId="1" applyFont="1" applyBorder="1" applyAlignment="1">
      <alignment horizontal="center"/>
    </xf>
    <xf numFmtId="166" fontId="0" fillId="0" borderId="0" xfId="1" applyFont="1" applyAlignment="1">
      <alignment horizontal="center"/>
    </xf>
    <xf numFmtId="0" fontId="5" fillId="3" borderId="2" xfId="0" applyFont="1" applyFill="1" applyBorder="1" applyAlignment="1">
      <alignment vertical="center"/>
    </xf>
    <xf numFmtId="0" fontId="0" fillId="0" borderId="8" xfId="0" applyBorder="1"/>
    <xf numFmtId="166" fontId="0" fillId="0" borderId="3" xfId="1" applyFont="1" applyBorder="1"/>
    <xf numFmtId="0" fontId="0" fillId="0" borderId="5" xfId="0" applyBorder="1"/>
    <xf numFmtId="9" fontId="0" fillId="0" borderId="4" xfId="2" applyFont="1" applyBorder="1"/>
    <xf numFmtId="166" fontId="1" fillId="0" borderId="0" xfId="1" applyFont="1" applyBorder="1"/>
    <xf numFmtId="0" fontId="0" fillId="0" borderId="6" xfId="0" applyBorder="1"/>
    <xf numFmtId="166" fontId="1" fillId="0" borderId="2" xfId="1" applyFont="1" applyBorder="1"/>
    <xf numFmtId="9" fontId="0" fillId="0" borderId="7" xfId="2" applyFont="1" applyBorder="1"/>
    <xf numFmtId="0" fontId="7" fillId="3" borderId="2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2" xfId="0" applyBorder="1"/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9" fontId="0" fillId="0" borderId="10" xfId="0" applyNumberFormat="1" applyBorder="1"/>
    <xf numFmtId="9" fontId="0" fillId="0" borderId="10" xfId="2" applyFont="1" applyBorder="1"/>
    <xf numFmtId="10" fontId="0" fillId="0" borderId="10" xfId="2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/>
    </xf>
    <xf numFmtId="166" fontId="0" fillId="4" borderId="10" xfId="1" applyFont="1" applyFill="1" applyBorder="1" applyAlignment="1">
      <alignment horizontal="right"/>
    </xf>
    <xf numFmtId="166" fontId="0" fillId="0" borderId="10" xfId="1" applyFont="1" applyBorder="1" applyAlignment="1">
      <alignment horizontal="right"/>
    </xf>
    <xf numFmtId="9" fontId="0" fillId="0" borderId="10" xfId="0" applyNumberFormat="1" applyBorder="1" applyAlignment="1">
      <alignment horizontal="right"/>
    </xf>
    <xf numFmtId="10" fontId="0" fillId="0" borderId="10" xfId="2" applyNumberFormat="1" applyFont="1" applyBorder="1" applyAlignment="1">
      <alignment horizontal="right"/>
    </xf>
    <xf numFmtId="171" fontId="0" fillId="0" borderId="10" xfId="0" applyNumberFormat="1" applyBorder="1"/>
    <xf numFmtId="171" fontId="0" fillId="5" borderId="10" xfId="0" applyNumberFormat="1" applyFill="1" applyBorder="1"/>
    <xf numFmtId="171" fontId="0" fillId="0" borderId="0" xfId="0" applyNumberFormat="1"/>
    <xf numFmtId="171" fontId="0" fillId="0" borderId="0" xfId="2" applyNumberFormat="1" applyFont="1"/>
    <xf numFmtId="1" fontId="2" fillId="0" borderId="10" xfId="0" applyNumberFormat="1" applyFont="1" applyBorder="1"/>
    <xf numFmtId="171" fontId="8" fillId="0" borderId="10" xfId="0" applyNumberFormat="1" applyFont="1" applyBorder="1"/>
    <xf numFmtId="9" fontId="0" fillId="6" borderId="10" xfId="2" applyFont="1" applyFill="1" applyBorder="1"/>
    <xf numFmtId="171" fontId="8" fillId="0" borderId="14" xfId="0" applyNumberFormat="1" applyFont="1" applyBorder="1"/>
    <xf numFmtId="170" fontId="0" fillId="0" borderId="14" xfId="0" applyNumberFormat="1" applyBorder="1"/>
    <xf numFmtId="165" fontId="0" fillId="0" borderId="10" xfId="0" applyNumberFormat="1" applyBorder="1"/>
    <xf numFmtId="165" fontId="0" fillId="0" borderId="0" xfId="0" applyNumberFormat="1"/>
    <xf numFmtId="10" fontId="0" fillId="0" borderId="0" xfId="0" applyNumberFormat="1"/>
    <xf numFmtId="170" fontId="0" fillId="0" borderId="10" xfId="0" applyNumberFormat="1" applyBorder="1"/>
    <xf numFmtId="0" fontId="0" fillId="7" borderId="10" xfId="0" applyFill="1" applyBorder="1"/>
    <xf numFmtId="9" fontId="0" fillId="7" borderId="10" xfId="2" applyFont="1" applyFill="1" applyBorder="1"/>
    <xf numFmtId="0" fontId="8" fillId="0" borderId="14" xfId="0" applyFont="1" applyBorder="1"/>
    <xf numFmtId="0" fontId="8" fillId="0" borderId="7" xfId="0" applyFont="1" applyBorder="1"/>
    <xf numFmtId="0" fontId="11" fillId="0" borderId="7" xfId="0" applyFont="1" applyBorder="1" applyAlignment="1">
      <alignment horizontal="center"/>
    </xf>
    <xf numFmtId="0" fontId="8" fillId="9" borderId="14" xfId="0" applyFont="1" applyFill="1" applyBorder="1"/>
    <xf numFmtId="0" fontId="8" fillId="9" borderId="7" xfId="0" applyFont="1" applyFill="1" applyBorder="1"/>
    <xf numFmtId="9" fontId="8" fillId="9" borderId="7" xfId="0" applyNumberFormat="1" applyFont="1" applyFill="1" applyBorder="1"/>
    <xf numFmtId="9" fontId="8" fillId="0" borderId="7" xfId="0" applyNumberFormat="1" applyFont="1" applyBorder="1"/>
    <xf numFmtId="165" fontId="8" fillId="0" borderId="7" xfId="0" applyNumberFormat="1" applyFont="1" applyBorder="1"/>
    <xf numFmtId="9" fontId="8" fillId="0" borderId="7" xfId="1" applyNumberFormat="1" applyFont="1" applyBorder="1"/>
    <xf numFmtId="1" fontId="0" fillId="0" borderId="10" xfId="1" applyNumberFormat="1" applyFont="1" applyBorder="1" applyAlignment="1">
      <alignment horizontal="center"/>
    </xf>
    <xf numFmtId="164" fontId="0" fillId="0" borderId="0" xfId="0" applyNumberFormat="1"/>
    <xf numFmtId="166" fontId="0" fillId="11" borderId="10" xfId="1" applyFont="1" applyFill="1" applyBorder="1" applyAlignment="1">
      <alignment horizontal="center"/>
    </xf>
    <xf numFmtId="166" fontId="0" fillId="0" borderId="10" xfId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164" fontId="0" fillId="0" borderId="10" xfId="1" applyNumberFormat="1" applyFont="1" applyBorder="1" applyAlignment="1">
      <alignment horizontal="center"/>
    </xf>
    <xf numFmtId="171" fontId="8" fillId="0" borderId="7" xfId="0" applyNumberFormat="1" applyFont="1" applyBorder="1" applyAlignment="1">
      <alignment horizontal="center"/>
    </xf>
    <xf numFmtId="166" fontId="4" fillId="12" borderId="10" xfId="1" applyFont="1" applyFill="1" applyBorder="1" applyAlignment="1">
      <alignment horizontal="center"/>
    </xf>
    <xf numFmtId="0" fontId="4" fillId="12" borderId="10" xfId="0" applyFont="1" applyFill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71" fontId="0" fillId="0" borderId="10" xfId="0" applyNumberFormat="1" applyBorder="1" applyAlignment="1">
      <alignment horizontal="center"/>
    </xf>
    <xf numFmtId="9" fontId="0" fillId="7" borderId="10" xfId="2" applyFont="1" applyFill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2" fillId="13" borderId="10" xfId="0" applyFont="1" applyFill="1" applyBorder="1" applyAlignment="1">
      <alignment horizontal="center"/>
    </xf>
    <xf numFmtId="166" fontId="2" fillId="13" borderId="10" xfId="1" applyFont="1" applyFill="1" applyBorder="1" applyAlignment="1">
      <alignment horizontal="center"/>
    </xf>
    <xf numFmtId="172" fontId="0" fillId="0" borderId="0" xfId="1" applyNumberFormat="1" applyFont="1"/>
    <xf numFmtId="9" fontId="0" fillId="0" borderId="10" xfId="2" applyFont="1" applyFill="1" applyBorder="1"/>
    <xf numFmtId="171" fontId="3" fillId="5" borderId="10" xfId="0" applyNumberFormat="1" applyFont="1" applyFill="1" applyBorder="1"/>
    <xf numFmtId="9" fontId="12" fillId="0" borderId="10" xfId="2" applyFont="1" applyBorder="1" applyAlignment="1">
      <alignment horizontal="center"/>
    </xf>
    <xf numFmtId="171" fontId="12" fillId="0" borderId="10" xfId="0" applyNumberFormat="1" applyFont="1" applyBorder="1" applyAlignment="1">
      <alignment horizontal="center"/>
    </xf>
    <xf numFmtId="166" fontId="12" fillId="0" borderId="10" xfId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6"/>
    <xf numFmtId="0" fontId="2" fillId="0" borderId="0" xfId="0" applyFont="1" applyAlignment="1">
      <alignment horizontal="left"/>
    </xf>
    <xf numFmtId="168" fontId="0" fillId="0" borderId="0" xfId="2" applyNumberFormat="1" applyFont="1" applyAlignment="1">
      <alignment horizontal="center"/>
    </xf>
    <xf numFmtId="166" fontId="2" fillId="0" borderId="10" xfId="0" applyNumberFormat="1" applyFont="1" applyBorder="1"/>
    <xf numFmtId="0" fontId="2" fillId="14" borderId="10" xfId="0" applyFont="1" applyFill="1" applyBorder="1" applyAlignment="1">
      <alignment horizontal="center"/>
    </xf>
    <xf numFmtId="0" fontId="4" fillId="3" borderId="10" xfId="0" applyFont="1" applyFill="1" applyBorder="1"/>
    <xf numFmtId="9" fontId="11" fillId="0" borderId="7" xfId="1" applyNumberFormat="1" applyFont="1" applyBorder="1"/>
    <xf numFmtId="9" fontId="2" fillId="0" borderId="10" xfId="2" applyFont="1" applyBorder="1"/>
    <xf numFmtId="0" fontId="0" fillId="2" borderId="10" xfId="0" applyFill="1" applyBorder="1"/>
    <xf numFmtId="0" fontId="2" fillId="2" borderId="10" xfId="0" applyFont="1" applyFill="1" applyBorder="1"/>
    <xf numFmtId="9" fontId="2" fillId="14" borderId="10" xfId="2" applyFont="1" applyFill="1" applyBorder="1" applyAlignment="1">
      <alignment horizontal="center"/>
    </xf>
    <xf numFmtId="166" fontId="0" fillId="0" borderId="10" xfId="0" applyNumberFormat="1" applyBorder="1"/>
    <xf numFmtId="166" fontId="2" fillId="0" borderId="0" xfId="0" applyNumberFormat="1" applyFont="1"/>
    <xf numFmtId="166" fontId="3" fillId="0" borderId="10" xfId="0" applyNumberFormat="1" applyFont="1" applyBorder="1"/>
    <xf numFmtId="0" fontId="5" fillId="3" borderId="2" xfId="0" applyFont="1" applyFill="1" applyBorder="1" applyAlignment="1">
      <alignment horizontal="center" vertical="center"/>
    </xf>
    <xf numFmtId="0" fontId="9" fillId="10" borderId="11" xfId="0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/>
    </xf>
    <xf numFmtId="0" fontId="9" fillId="10" borderId="13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/>
    </xf>
    <xf numFmtId="0" fontId="14" fillId="8" borderId="9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</cellXfs>
  <cellStyles count="7">
    <cellStyle name="Hipervínculo" xfId="6" builtinId="8"/>
    <cellStyle name="Millares [0] 2" xfId="5" xr:uid="{00000000-0005-0000-0000-000001000000}"/>
    <cellStyle name="Moneda" xfId="4" builtinId="4"/>
    <cellStyle name="Moneda [0]" xfId="1" builtinId="7"/>
    <cellStyle name="Normal" xfId="0" builtinId="0"/>
    <cellStyle name="Normal 2" xfId="3" xr:uid="{00000000-0005-0000-0000-000005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powerPivotData" Target="model/item.data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AVOCADO PRICE </a:t>
            </a:r>
            <a:r>
              <a:rPr lang="es-CO"/>
              <a:t>USD per METRIC TON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'Precio Historico'!$C$2</c:f>
              <c:strCache>
                <c:ptCount val="1"/>
                <c:pt idx="0">
                  <c:v>Precio</c:v>
                </c:pt>
              </c:strCache>
            </c:strRef>
          </c:tx>
          <c:spPr>
            <a:pattFill prst="ltUpDiag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cat>
            <c:strRef>
              <c:f>'Precio Historico'!$B$3:$B$52</c:f>
              <c:strCache>
                <c:ptCount val="50"/>
                <c:pt idx="0">
                  <c:v>Dec. 31, 1969</c:v>
                </c:pt>
                <c:pt idx="1">
                  <c:v>Dec. 31, 1970</c:v>
                </c:pt>
                <c:pt idx="2">
                  <c:v>Dec. 31, 1971</c:v>
                </c:pt>
                <c:pt idx="3">
                  <c:v>Dec. 31, 1972</c:v>
                </c:pt>
                <c:pt idx="4">
                  <c:v>Dec. 31, 1973</c:v>
                </c:pt>
                <c:pt idx="5">
                  <c:v>Dec. 31, 1974</c:v>
                </c:pt>
                <c:pt idx="6">
                  <c:v>Dec. 31, 1975</c:v>
                </c:pt>
                <c:pt idx="7">
                  <c:v>Dec. 31, 1976</c:v>
                </c:pt>
                <c:pt idx="8">
                  <c:v>Dec. 31, 1977</c:v>
                </c:pt>
                <c:pt idx="9">
                  <c:v>Dec. 31, 1978</c:v>
                </c:pt>
                <c:pt idx="10">
                  <c:v>Dec. 31, 1979</c:v>
                </c:pt>
                <c:pt idx="11">
                  <c:v>Dec. 31, 1980</c:v>
                </c:pt>
                <c:pt idx="12">
                  <c:v>Dec. 31, 1981</c:v>
                </c:pt>
                <c:pt idx="13">
                  <c:v>Dec. 31, 1982</c:v>
                </c:pt>
                <c:pt idx="14">
                  <c:v>Dec. 31, 1983</c:v>
                </c:pt>
                <c:pt idx="15">
                  <c:v>Dec. 31, 1984</c:v>
                </c:pt>
                <c:pt idx="16">
                  <c:v>Dec. 31, 1985</c:v>
                </c:pt>
                <c:pt idx="17">
                  <c:v>Dec. 31, 1986</c:v>
                </c:pt>
                <c:pt idx="18">
                  <c:v>Dec. 31, 1987</c:v>
                </c:pt>
                <c:pt idx="19">
                  <c:v>Dec. 31, 1988</c:v>
                </c:pt>
                <c:pt idx="20">
                  <c:v>Dec. 31, 1989</c:v>
                </c:pt>
                <c:pt idx="21">
                  <c:v>Dec. 31, 1990</c:v>
                </c:pt>
                <c:pt idx="22">
                  <c:v>Dec. 31, 1991</c:v>
                </c:pt>
                <c:pt idx="23">
                  <c:v>Dec. 31, 1992</c:v>
                </c:pt>
                <c:pt idx="24">
                  <c:v>Dec. 31, 1993</c:v>
                </c:pt>
                <c:pt idx="25">
                  <c:v>Dec. 31, 1994</c:v>
                </c:pt>
                <c:pt idx="26">
                  <c:v>Dec. 31, 1995</c:v>
                </c:pt>
                <c:pt idx="27">
                  <c:v>Dec. 31, 1996</c:v>
                </c:pt>
                <c:pt idx="28">
                  <c:v>Dec. 31, 1997</c:v>
                </c:pt>
                <c:pt idx="29">
                  <c:v>Dec. 31, 1998</c:v>
                </c:pt>
                <c:pt idx="30">
                  <c:v>Dec. 31, 1999</c:v>
                </c:pt>
                <c:pt idx="31">
                  <c:v>Dec. 31, 2000</c:v>
                </c:pt>
                <c:pt idx="32">
                  <c:v>Dec. 31, 2001</c:v>
                </c:pt>
                <c:pt idx="33">
                  <c:v>Dec. 31, 2002</c:v>
                </c:pt>
                <c:pt idx="34">
                  <c:v>Dec. 31, 2003</c:v>
                </c:pt>
                <c:pt idx="35">
                  <c:v>Dec. 31, 2004</c:v>
                </c:pt>
                <c:pt idx="36">
                  <c:v>Dec. 31, 2005</c:v>
                </c:pt>
                <c:pt idx="37">
                  <c:v>Dec. 31, 2006</c:v>
                </c:pt>
                <c:pt idx="38">
                  <c:v>Dec. 31, 2007</c:v>
                </c:pt>
                <c:pt idx="39">
                  <c:v>Dec. 31, 2008</c:v>
                </c:pt>
                <c:pt idx="40">
                  <c:v>Dec. 31, 2009</c:v>
                </c:pt>
                <c:pt idx="41">
                  <c:v>Dec. 31, 2010</c:v>
                </c:pt>
                <c:pt idx="42">
                  <c:v>Dec. 31, 2011</c:v>
                </c:pt>
                <c:pt idx="43">
                  <c:v>Dec. 31, 2013</c:v>
                </c:pt>
                <c:pt idx="44">
                  <c:v>Dec. 31, 2014</c:v>
                </c:pt>
                <c:pt idx="45">
                  <c:v>Dec. 31, 2015</c:v>
                </c:pt>
                <c:pt idx="46">
                  <c:v>Dec. 31, 2016</c:v>
                </c:pt>
                <c:pt idx="47">
                  <c:v>Dec. 31, 2017</c:v>
                </c:pt>
                <c:pt idx="48">
                  <c:v>Dec. 31, 2018</c:v>
                </c:pt>
                <c:pt idx="49">
                  <c:v>Dec. 31, 2019</c:v>
                </c:pt>
              </c:strCache>
            </c:strRef>
          </c:cat>
          <c:val>
            <c:numRef>
              <c:f>'Precio Historico'!$C$3:$C$52</c:f>
              <c:numCache>
                <c:formatCode>_-"$"* #,##0_-;\-"$"* #,##0_-;_-"$"* "-"_-;_-@_-</c:formatCode>
                <c:ptCount val="50"/>
                <c:pt idx="0">
                  <c:v>561</c:v>
                </c:pt>
                <c:pt idx="1">
                  <c:v>357</c:v>
                </c:pt>
                <c:pt idx="2">
                  <c:v>691</c:v>
                </c:pt>
                <c:pt idx="3">
                  <c:v>499</c:v>
                </c:pt>
                <c:pt idx="4">
                  <c:v>672</c:v>
                </c:pt>
                <c:pt idx="5">
                  <c:v>450</c:v>
                </c:pt>
                <c:pt idx="6">
                  <c:v>826</c:v>
                </c:pt>
                <c:pt idx="7">
                  <c:v>566</c:v>
                </c:pt>
                <c:pt idx="8">
                  <c:v>735</c:v>
                </c:pt>
                <c:pt idx="9">
                  <c:v>645</c:v>
                </c:pt>
                <c:pt idx="10">
                  <c:v>1256</c:v>
                </c:pt>
                <c:pt idx="11">
                  <c:v>377</c:v>
                </c:pt>
                <c:pt idx="12">
                  <c:v>662</c:v>
                </c:pt>
                <c:pt idx="13">
                  <c:v>463</c:v>
                </c:pt>
                <c:pt idx="14">
                  <c:v>379</c:v>
                </c:pt>
                <c:pt idx="15">
                  <c:v>557</c:v>
                </c:pt>
                <c:pt idx="16">
                  <c:v>953</c:v>
                </c:pt>
                <c:pt idx="17">
                  <c:v>344</c:v>
                </c:pt>
                <c:pt idx="18">
                  <c:v>1030</c:v>
                </c:pt>
                <c:pt idx="19">
                  <c:v>1140</c:v>
                </c:pt>
                <c:pt idx="20">
                  <c:v>1800</c:v>
                </c:pt>
                <c:pt idx="21">
                  <c:v>1320</c:v>
                </c:pt>
                <c:pt idx="22">
                  <c:v>1060</c:v>
                </c:pt>
                <c:pt idx="23">
                  <c:v>405</c:v>
                </c:pt>
                <c:pt idx="24">
                  <c:v>1780</c:v>
                </c:pt>
                <c:pt idx="25">
                  <c:v>1380</c:v>
                </c:pt>
                <c:pt idx="26">
                  <c:v>1300</c:v>
                </c:pt>
                <c:pt idx="27">
                  <c:v>1430</c:v>
                </c:pt>
                <c:pt idx="28">
                  <c:v>1560</c:v>
                </c:pt>
                <c:pt idx="29">
                  <c:v>2160</c:v>
                </c:pt>
                <c:pt idx="30">
                  <c:v>1950</c:v>
                </c:pt>
                <c:pt idx="31">
                  <c:v>1400</c:v>
                </c:pt>
                <c:pt idx="32">
                  <c:v>1670</c:v>
                </c:pt>
                <c:pt idx="33">
                  <c:v>1920</c:v>
                </c:pt>
                <c:pt idx="34">
                  <c:v>1690</c:v>
                </c:pt>
                <c:pt idx="35">
                  <c:v>1620</c:v>
                </c:pt>
                <c:pt idx="36">
                  <c:v>1130</c:v>
                </c:pt>
                <c:pt idx="37">
                  <c:v>1800</c:v>
                </c:pt>
                <c:pt idx="38">
                  <c:v>1770</c:v>
                </c:pt>
                <c:pt idx="39">
                  <c:v>1850</c:v>
                </c:pt>
                <c:pt idx="40">
                  <c:v>1440</c:v>
                </c:pt>
                <c:pt idx="41">
                  <c:v>2750</c:v>
                </c:pt>
                <c:pt idx="42">
                  <c:v>1540</c:v>
                </c:pt>
                <c:pt idx="43">
                  <c:v>1980</c:v>
                </c:pt>
                <c:pt idx="44">
                  <c:v>1890</c:v>
                </c:pt>
                <c:pt idx="45">
                  <c:v>1900</c:v>
                </c:pt>
                <c:pt idx="46">
                  <c:v>2720</c:v>
                </c:pt>
                <c:pt idx="47">
                  <c:v>2100</c:v>
                </c:pt>
                <c:pt idx="48">
                  <c:v>2180</c:v>
                </c:pt>
                <c:pt idx="49">
                  <c:v>2960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B7-435E-A84A-1A1C18C3D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807088"/>
        <c:axId val="541463600"/>
      </c:areaChart>
      <c:catAx>
        <c:axId val="452807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41463600"/>
        <c:crosses val="autoZero"/>
        <c:auto val="1"/>
        <c:lblAlgn val="ctr"/>
        <c:lblOffset val="100"/>
        <c:noMultiLvlLbl val="0"/>
      </c:catAx>
      <c:valAx>
        <c:axId val="54146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USD/mt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-&quot;$&quot;* #,##0_-;\-&quot;$&quot;* #,##0_-;_-&quot;$&quot;* &quot;-&quot;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807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7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tx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>
      <cs:styleClr val="auto"/>
    </cs:effectRef>
    <cs:fontRef idx="minor">
      <a:schemeClr val="tx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tx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lt1"/>
      </a:solidFill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olidFill>
        <a:schemeClr val="lt1"/>
      </a:solid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373435</xdr:colOff>
      <xdr:row>0</xdr:row>
      <xdr:rowOff>139792</xdr:rowOff>
    </xdr:from>
    <xdr:to>
      <xdr:col>12</xdr:col>
      <xdr:colOff>673473</xdr:colOff>
      <xdr:row>21</xdr:row>
      <xdr:rowOff>125506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4CD0649-4470-4CF7-881D-F5255DC702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ancial%20Projection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emir/Downloads/AVOVITE%20-%20%20Proyecto%20Finca%2028%20H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ancial Projection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ancial Projections"/>
      <sheetName val="Pantallazos"/>
      <sheetName val="Financieras"/>
      <sheetName val="Inversionista"/>
      <sheetName val="Emir"/>
      <sheetName val="Mensuales"/>
      <sheetName val="Histor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77">
          <cell r="J177">
            <v>0</v>
          </cell>
          <cell r="K177">
            <v>375980429.09352523</v>
          </cell>
          <cell r="L177">
            <v>722818637.931849</v>
          </cell>
          <cell r="M177">
            <v>913294436.95051551</v>
          </cell>
          <cell r="N177">
            <v>1091204350.1702907</v>
          </cell>
          <cell r="O177">
            <v>23919880557.307304</v>
          </cell>
        </row>
        <row r="178">
          <cell r="K178">
            <v>1502339904.1678314</v>
          </cell>
          <cell r="L178">
            <v>2888233533.4830256</v>
          </cell>
          <cell r="M178">
            <v>3649335366.1872277</v>
          </cell>
          <cell r="N178">
            <v>4360226522.4676476</v>
          </cell>
          <cell r="O178">
            <v>95578887312.860611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52"/>
  <sheetViews>
    <sheetView showGridLines="0" zoomScale="85" zoomScaleNormal="85" workbookViewId="0">
      <selection activeCell="O4" sqref="O4:O8"/>
    </sheetView>
  </sheetViews>
  <sheetFormatPr baseColWidth="10" defaultColWidth="11.453125" defaultRowHeight="14.5" x14ac:dyDescent="0.35"/>
  <cols>
    <col min="2" max="2" width="12.1796875" bestFit="1" customWidth="1"/>
  </cols>
  <sheetData>
    <row r="2" spans="2:16" ht="18.5" x14ac:dyDescent="0.35">
      <c r="B2" s="19" t="s">
        <v>8</v>
      </c>
      <c r="C2" s="19" t="s">
        <v>9</v>
      </c>
      <c r="D2" s="19" t="s">
        <v>10</v>
      </c>
      <c r="N2" s="104" t="s">
        <v>11</v>
      </c>
      <c r="O2" s="104"/>
    </row>
    <row r="3" spans="2:16" ht="15.5" x14ac:dyDescent="0.35">
      <c r="B3" s="20" t="s">
        <v>12</v>
      </c>
      <c r="C3" s="21">
        <v>561</v>
      </c>
      <c r="D3" s="22"/>
      <c r="N3" s="28" t="s">
        <v>13</v>
      </c>
      <c r="O3" s="28" t="s">
        <v>14</v>
      </c>
    </row>
    <row r="4" spans="2:16" x14ac:dyDescent="0.35">
      <c r="B4" s="6" t="s">
        <v>15</v>
      </c>
      <c r="C4" s="8">
        <v>357</v>
      </c>
      <c r="D4" s="23">
        <v>-0.36363636363636365</v>
      </c>
      <c r="N4" s="14">
        <v>2016</v>
      </c>
      <c r="O4" s="15">
        <v>32</v>
      </c>
    </row>
    <row r="5" spans="2:16" x14ac:dyDescent="0.35">
      <c r="B5" s="6" t="s">
        <v>16</v>
      </c>
      <c r="C5" s="8">
        <v>691</v>
      </c>
      <c r="D5" s="23">
        <v>0.93557422969187676</v>
      </c>
      <c r="N5" s="14">
        <v>2017</v>
      </c>
      <c r="O5" s="15">
        <f>O4*(1+$P$5)</f>
        <v>32.96</v>
      </c>
      <c r="P5" s="1">
        <v>0.03</v>
      </c>
    </row>
    <row r="6" spans="2:16" x14ac:dyDescent="0.35">
      <c r="B6" s="6" t="s">
        <v>17</v>
      </c>
      <c r="C6" s="8">
        <v>499</v>
      </c>
      <c r="D6" s="23">
        <v>-0.27785817655571637</v>
      </c>
      <c r="N6" s="14">
        <v>2018</v>
      </c>
      <c r="O6" s="15">
        <f>O5*(1+$P$5)</f>
        <v>33.948799999999999</v>
      </c>
      <c r="P6" s="1"/>
    </row>
    <row r="7" spans="2:16" x14ac:dyDescent="0.35">
      <c r="B7" s="6" t="s">
        <v>18</v>
      </c>
      <c r="C7" s="8">
        <v>672</v>
      </c>
      <c r="D7" s="23">
        <v>0.34669338677354711</v>
      </c>
      <c r="N7" s="14">
        <v>2019</v>
      </c>
      <c r="O7" s="15">
        <f>O6*(1+$P$5)</f>
        <v>34.967264</v>
      </c>
      <c r="P7" s="1"/>
    </row>
    <row r="8" spans="2:16" x14ac:dyDescent="0.35">
      <c r="B8" s="6" t="s">
        <v>19</v>
      </c>
      <c r="C8" s="8">
        <v>450</v>
      </c>
      <c r="D8" s="23">
        <v>-0.33035714285714285</v>
      </c>
      <c r="N8" s="14">
        <v>2020</v>
      </c>
      <c r="O8" s="15">
        <f>O7*(1+$P$5)</f>
        <v>36.016281920000004</v>
      </c>
      <c r="P8" s="1"/>
    </row>
    <row r="9" spans="2:16" x14ac:dyDescent="0.35">
      <c r="B9" s="6" t="s">
        <v>20</v>
      </c>
      <c r="C9" s="8">
        <v>826</v>
      </c>
      <c r="D9" s="23">
        <v>0.83555555555555561</v>
      </c>
      <c r="N9" s="16"/>
      <c r="O9" s="17"/>
    </row>
    <row r="10" spans="2:16" x14ac:dyDescent="0.35">
      <c r="B10" s="6" t="s">
        <v>21</v>
      </c>
      <c r="C10" s="8">
        <v>566</v>
      </c>
      <c r="D10" s="23">
        <v>-0.31476997578692495</v>
      </c>
    </row>
    <row r="11" spans="2:16" x14ac:dyDescent="0.35">
      <c r="B11" s="6" t="s">
        <v>22</v>
      </c>
      <c r="C11" s="8">
        <v>735</v>
      </c>
      <c r="D11" s="23">
        <v>0.29858657243816256</v>
      </c>
    </row>
    <row r="12" spans="2:16" x14ac:dyDescent="0.35">
      <c r="B12" s="6" t="s">
        <v>23</v>
      </c>
      <c r="C12" s="8">
        <v>645</v>
      </c>
      <c r="D12" s="23">
        <v>-0.12244897959183673</v>
      </c>
    </row>
    <row r="13" spans="2:16" x14ac:dyDescent="0.35">
      <c r="B13" s="6" t="s">
        <v>24</v>
      </c>
      <c r="C13" s="8">
        <v>1256</v>
      </c>
      <c r="D13" s="23">
        <v>0.94728682170542633</v>
      </c>
    </row>
    <row r="14" spans="2:16" x14ac:dyDescent="0.35">
      <c r="B14" s="6" t="s">
        <v>25</v>
      </c>
      <c r="C14" s="8">
        <v>377</v>
      </c>
      <c r="D14" s="23">
        <v>-0.69984076433121023</v>
      </c>
    </row>
    <row r="15" spans="2:16" x14ac:dyDescent="0.35">
      <c r="B15" s="6" t="s">
        <v>26</v>
      </c>
      <c r="C15" s="8">
        <v>662</v>
      </c>
      <c r="D15" s="23">
        <v>0.75596816976127323</v>
      </c>
    </row>
    <row r="16" spans="2:16" x14ac:dyDescent="0.35">
      <c r="B16" s="6" t="s">
        <v>27</v>
      </c>
      <c r="C16" s="8">
        <v>463</v>
      </c>
      <c r="D16" s="23">
        <v>-0.30060422960725075</v>
      </c>
    </row>
    <row r="17" spans="2:4" x14ac:dyDescent="0.35">
      <c r="B17" s="6" t="s">
        <v>28</v>
      </c>
      <c r="C17" s="8">
        <v>379</v>
      </c>
      <c r="D17" s="23">
        <v>-0.18142548596112312</v>
      </c>
    </row>
    <row r="18" spans="2:4" x14ac:dyDescent="0.35">
      <c r="B18" s="6" t="s">
        <v>29</v>
      </c>
      <c r="C18" s="8">
        <v>557</v>
      </c>
      <c r="D18" s="23">
        <v>0.46965699208443273</v>
      </c>
    </row>
    <row r="19" spans="2:4" x14ac:dyDescent="0.35">
      <c r="B19" s="6" t="s">
        <v>30</v>
      </c>
      <c r="C19" s="8">
        <v>953</v>
      </c>
      <c r="D19" s="23">
        <v>0.71095152603231593</v>
      </c>
    </row>
    <row r="20" spans="2:4" x14ac:dyDescent="0.35">
      <c r="B20" s="6" t="s">
        <v>31</v>
      </c>
      <c r="C20" s="8">
        <v>344</v>
      </c>
      <c r="D20" s="23">
        <v>-0.63903462749213014</v>
      </c>
    </row>
    <row r="21" spans="2:4" x14ac:dyDescent="0.35">
      <c r="B21" s="6" t="s">
        <v>32</v>
      </c>
      <c r="C21" s="8">
        <v>1030</v>
      </c>
      <c r="D21" s="23">
        <v>1.9941860465116279</v>
      </c>
    </row>
    <row r="22" spans="2:4" x14ac:dyDescent="0.35">
      <c r="B22" s="6" t="s">
        <v>33</v>
      </c>
      <c r="C22" s="8">
        <v>1140</v>
      </c>
      <c r="D22" s="23">
        <v>0.10679611650485436</v>
      </c>
    </row>
    <row r="23" spans="2:4" x14ac:dyDescent="0.35">
      <c r="B23" s="6" t="s">
        <v>34</v>
      </c>
      <c r="C23" s="8">
        <v>1800</v>
      </c>
      <c r="D23" s="23">
        <v>0.57894736842105265</v>
      </c>
    </row>
    <row r="24" spans="2:4" x14ac:dyDescent="0.35">
      <c r="B24" s="6" t="s">
        <v>35</v>
      </c>
      <c r="C24" s="8">
        <v>1320</v>
      </c>
      <c r="D24" s="23">
        <v>-0.26666666666666666</v>
      </c>
    </row>
    <row r="25" spans="2:4" x14ac:dyDescent="0.35">
      <c r="B25" s="6" t="s">
        <v>36</v>
      </c>
      <c r="C25" s="8">
        <v>1060</v>
      </c>
      <c r="D25" s="23">
        <v>-0.19696969696969696</v>
      </c>
    </row>
    <row r="26" spans="2:4" x14ac:dyDescent="0.35">
      <c r="B26" s="6" t="s">
        <v>37</v>
      </c>
      <c r="C26" s="8">
        <v>405</v>
      </c>
      <c r="D26" s="23">
        <v>-0.61792452830188682</v>
      </c>
    </row>
    <row r="27" spans="2:4" x14ac:dyDescent="0.35">
      <c r="B27" s="6" t="s">
        <v>38</v>
      </c>
      <c r="C27" s="8">
        <v>1780</v>
      </c>
      <c r="D27" s="23">
        <v>3.3950617283950617</v>
      </c>
    </row>
    <row r="28" spans="2:4" x14ac:dyDescent="0.35">
      <c r="B28" s="6" t="s">
        <v>39</v>
      </c>
      <c r="C28" s="24">
        <v>1380</v>
      </c>
      <c r="D28" s="23">
        <v>-0.2247191011235955</v>
      </c>
    </row>
    <row r="29" spans="2:4" x14ac:dyDescent="0.35">
      <c r="B29" s="6" t="s">
        <v>40</v>
      </c>
      <c r="C29" s="24">
        <v>1300</v>
      </c>
      <c r="D29" s="23">
        <v>-5.7971014492753624E-2</v>
      </c>
    </row>
    <row r="30" spans="2:4" x14ac:dyDescent="0.35">
      <c r="B30" s="6" t="s">
        <v>41</v>
      </c>
      <c r="C30" s="24">
        <v>1430</v>
      </c>
      <c r="D30" s="23">
        <v>0.1</v>
      </c>
    </row>
    <row r="31" spans="2:4" x14ac:dyDescent="0.35">
      <c r="B31" s="6" t="s">
        <v>42</v>
      </c>
      <c r="C31" s="24">
        <v>1560</v>
      </c>
      <c r="D31" s="23">
        <v>9.0909090909090912E-2</v>
      </c>
    </row>
    <row r="32" spans="2:4" x14ac:dyDescent="0.35">
      <c r="B32" s="6" t="s">
        <v>43</v>
      </c>
      <c r="C32" s="24">
        <v>2160</v>
      </c>
      <c r="D32" s="23">
        <v>0.38461538461538464</v>
      </c>
    </row>
    <row r="33" spans="2:4" x14ac:dyDescent="0.35">
      <c r="B33" s="6" t="s">
        <v>44</v>
      </c>
      <c r="C33" s="24">
        <v>1950</v>
      </c>
      <c r="D33" s="23">
        <v>-9.7222222222222224E-2</v>
      </c>
    </row>
    <row r="34" spans="2:4" x14ac:dyDescent="0.35">
      <c r="B34" s="6" t="s">
        <v>45</v>
      </c>
      <c r="C34" s="24">
        <v>1400</v>
      </c>
      <c r="D34" s="23">
        <v>-0.28205128205128205</v>
      </c>
    </row>
    <row r="35" spans="2:4" x14ac:dyDescent="0.35">
      <c r="B35" s="6" t="s">
        <v>46</v>
      </c>
      <c r="C35" s="24">
        <v>1670</v>
      </c>
      <c r="D35" s="23">
        <v>0.19285714285714287</v>
      </c>
    </row>
    <row r="36" spans="2:4" x14ac:dyDescent="0.35">
      <c r="B36" s="6" t="s">
        <v>47</v>
      </c>
      <c r="C36" s="24">
        <v>1920</v>
      </c>
      <c r="D36" s="23">
        <v>0.1497005988023952</v>
      </c>
    </row>
    <row r="37" spans="2:4" x14ac:dyDescent="0.35">
      <c r="B37" s="6" t="s">
        <v>48</v>
      </c>
      <c r="C37" s="24">
        <v>1690</v>
      </c>
      <c r="D37" s="23">
        <v>-0.11979166666666667</v>
      </c>
    </row>
    <row r="38" spans="2:4" x14ac:dyDescent="0.35">
      <c r="B38" s="6" t="s">
        <v>49</v>
      </c>
      <c r="C38" s="24">
        <v>1620</v>
      </c>
      <c r="D38" s="23">
        <v>-4.142011834319527E-2</v>
      </c>
    </row>
    <row r="39" spans="2:4" x14ac:dyDescent="0.35">
      <c r="B39" s="6" t="s">
        <v>50</v>
      </c>
      <c r="C39" s="24">
        <v>1130</v>
      </c>
      <c r="D39" s="23">
        <v>-0.30246913580246915</v>
      </c>
    </row>
    <row r="40" spans="2:4" x14ac:dyDescent="0.35">
      <c r="B40" s="6" t="s">
        <v>51</v>
      </c>
      <c r="C40" s="24">
        <v>1800</v>
      </c>
      <c r="D40" s="23">
        <v>0.59292035398230092</v>
      </c>
    </row>
    <row r="41" spans="2:4" x14ac:dyDescent="0.35">
      <c r="B41" s="6" t="s">
        <v>52</v>
      </c>
      <c r="C41" s="24">
        <v>1770</v>
      </c>
      <c r="D41" s="23">
        <v>-1.6666666666666666E-2</v>
      </c>
    </row>
    <row r="42" spans="2:4" x14ac:dyDescent="0.35">
      <c r="B42" s="6" t="s">
        <v>53</v>
      </c>
      <c r="C42" s="24">
        <v>1850</v>
      </c>
      <c r="D42" s="23">
        <v>4.519774011299435E-2</v>
      </c>
    </row>
    <row r="43" spans="2:4" x14ac:dyDescent="0.35">
      <c r="B43" s="6" t="s">
        <v>54</v>
      </c>
      <c r="C43" s="24">
        <v>1440</v>
      </c>
      <c r="D43" s="23">
        <v>-0.22162162162162163</v>
      </c>
    </row>
    <row r="44" spans="2:4" x14ac:dyDescent="0.35">
      <c r="B44" s="6" t="s">
        <v>55</v>
      </c>
      <c r="C44" s="24">
        <v>2750</v>
      </c>
      <c r="D44" s="23">
        <v>0.90972222222222221</v>
      </c>
    </row>
    <row r="45" spans="2:4" x14ac:dyDescent="0.35">
      <c r="B45" s="6" t="s">
        <v>56</v>
      </c>
      <c r="C45" s="24">
        <v>1540</v>
      </c>
      <c r="D45" s="23">
        <v>-0.44</v>
      </c>
    </row>
    <row r="46" spans="2:4" x14ac:dyDescent="0.35">
      <c r="B46" s="6" t="s">
        <v>57</v>
      </c>
      <c r="C46" s="24">
        <v>1980</v>
      </c>
      <c r="D46" s="23">
        <v>0.2857142857142857</v>
      </c>
    </row>
    <row r="47" spans="2:4" x14ac:dyDescent="0.35">
      <c r="B47" s="6" t="s">
        <v>58</v>
      </c>
      <c r="C47" s="24">
        <v>1890</v>
      </c>
      <c r="D47" s="23">
        <v>-4.5454545454545456E-2</v>
      </c>
    </row>
    <row r="48" spans="2:4" x14ac:dyDescent="0.35">
      <c r="B48" s="6" t="s">
        <v>59</v>
      </c>
      <c r="C48" s="24">
        <v>1900</v>
      </c>
      <c r="D48" s="23">
        <v>5.2910052910052907E-3</v>
      </c>
    </row>
    <row r="49" spans="2:4" x14ac:dyDescent="0.35">
      <c r="B49" s="6" t="s">
        <v>60</v>
      </c>
      <c r="C49" s="24">
        <v>2720</v>
      </c>
      <c r="D49" s="23">
        <v>0.43157894736842106</v>
      </c>
    </row>
    <row r="50" spans="2:4" x14ac:dyDescent="0.35">
      <c r="B50" s="6" t="s">
        <v>61</v>
      </c>
      <c r="C50" s="24">
        <v>2100</v>
      </c>
      <c r="D50" s="23">
        <v>-0.22794117647058823</v>
      </c>
    </row>
    <row r="51" spans="2:4" x14ac:dyDescent="0.35">
      <c r="B51" s="6" t="s">
        <v>62</v>
      </c>
      <c r="C51" s="24">
        <v>2180</v>
      </c>
      <c r="D51" s="23">
        <v>3.8095238095238099E-2</v>
      </c>
    </row>
    <row r="52" spans="2:4" x14ac:dyDescent="0.35">
      <c r="B52" s="25" t="s">
        <v>63</v>
      </c>
      <c r="C52" s="26">
        <v>2960</v>
      </c>
      <c r="D52" s="27">
        <v>0.3577981651376147</v>
      </c>
    </row>
  </sheetData>
  <sortState xmlns:xlrd2="http://schemas.microsoft.com/office/spreadsheetml/2017/richdata2" ref="B3:C52">
    <sortCondition ref="B3"/>
  </sortState>
  <mergeCells count="1">
    <mergeCell ref="N2:O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2:M65"/>
  <sheetViews>
    <sheetView showGridLines="0" topLeftCell="C38" zoomScaleNormal="100" workbookViewId="0">
      <selection activeCell="L53" sqref="L53"/>
    </sheetView>
  </sheetViews>
  <sheetFormatPr baseColWidth="10" defaultColWidth="10.54296875" defaultRowHeight="14.5" x14ac:dyDescent="0.35"/>
  <cols>
    <col min="1" max="1" width="4.26953125" customWidth="1"/>
    <col min="2" max="2" width="29.7265625" bestFit="1" customWidth="1"/>
    <col min="3" max="3" width="22.26953125" customWidth="1"/>
    <col min="4" max="5" width="17.26953125" bestFit="1" customWidth="1"/>
    <col min="6" max="6" width="17.54296875" customWidth="1"/>
    <col min="7" max="7" width="17.1796875" bestFit="1" customWidth="1"/>
    <col min="8" max="9" width="13.7265625" bestFit="1" customWidth="1"/>
    <col min="10" max="10" width="16.1796875" customWidth="1"/>
    <col min="11" max="11" width="4.7265625" customWidth="1"/>
    <col min="12" max="12" width="15.26953125" customWidth="1"/>
    <col min="13" max="13" width="16.26953125" bestFit="1" customWidth="1"/>
    <col min="20" max="20" width="13.7265625" bestFit="1" customWidth="1"/>
  </cols>
  <sheetData>
    <row r="2" spans="2:10" ht="21" x14ac:dyDescent="0.35">
      <c r="B2" s="108" t="s">
        <v>64</v>
      </c>
      <c r="C2" s="108"/>
      <c r="D2" s="108"/>
      <c r="I2" s="13"/>
    </row>
    <row r="3" spans="2:10" x14ac:dyDescent="0.35">
      <c r="B3" s="37" t="s">
        <v>0</v>
      </c>
      <c r="C3" s="38" t="e">
        <f>#REF!</f>
        <v>#REF!</v>
      </c>
      <c r="D3" s="39" t="e">
        <f>+(C3*#REF!)*0.7</f>
        <v>#REF!</v>
      </c>
      <c r="I3" s="13"/>
    </row>
    <row r="4" spans="2:10" x14ac:dyDescent="0.35">
      <c r="B4" s="37" t="s">
        <v>65</v>
      </c>
      <c r="C4" s="39"/>
      <c r="D4" s="40" t="e">
        <f>+#REF!</f>
        <v>#REF!</v>
      </c>
    </row>
    <row r="5" spans="2:10" x14ac:dyDescent="0.35">
      <c r="B5" s="37" t="s">
        <v>66</v>
      </c>
      <c r="C5" s="39"/>
      <c r="D5" s="41" t="e">
        <f>+D4/D3</f>
        <v>#REF!</v>
      </c>
      <c r="I5" s="13"/>
      <c r="J5" s="13"/>
    </row>
    <row r="6" spans="2:10" x14ac:dyDescent="0.35">
      <c r="B6" s="37" t="s">
        <v>67</v>
      </c>
      <c r="C6" s="42">
        <v>0.25</v>
      </c>
      <c r="D6" s="41" t="e">
        <f>+$D$5*(1-C6)</f>
        <v>#REF!</v>
      </c>
      <c r="I6" s="13"/>
      <c r="J6" s="13"/>
    </row>
    <row r="7" spans="2:10" x14ac:dyDescent="0.35">
      <c r="B7" s="37" t="s">
        <v>68</v>
      </c>
      <c r="C7" s="42">
        <v>0.2</v>
      </c>
      <c r="D7" s="41" t="e">
        <f t="shared" ref="D7:D9" si="0">+$D$5*(1-C7)</f>
        <v>#REF!</v>
      </c>
    </row>
    <row r="8" spans="2:10" x14ac:dyDescent="0.35">
      <c r="B8" s="37" t="s">
        <v>69</v>
      </c>
      <c r="C8" s="42">
        <v>0.15</v>
      </c>
      <c r="D8" s="41" t="e">
        <f t="shared" si="0"/>
        <v>#REF!</v>
      </c>
    </row>
    <row r="9" spans="2:10" x14ac:dyDescent="0.35">
      <c r="B9" s="37" t="s">
        <v>70</v>
      </c>
      <c r="C9" s="42">
        <v>0.1</v>
      </c>
      <c r="D9" s="41" t="e">
        <f t="shared" si="0"/>
        <v>#REF!</v>
      </c>
    </row>
    <row r="10" spans="2:10" x14ac:dyDescent="0.35">
      <c r="B10" s="37"/>
      <c r="C10" s="39"/>
      <c r="D10" s="39"/>
    </row>
    <row r="11" spans="2:10" x14ac:dyDescent="0.35">
      <c r="B11" s="37" t="s">
        <v>71</v>
      </c>
      <c r="C11" s="41">
        <f>SUM([2]Mensuales!K177:O178)</f>
        <v>135002201050.61983</v>
      </c>
      <c r="D11" s="41"/>
    </row>
    <row r="12" spans="2:10" x14ac:dyDescent="0.35">
      <c r="B12" s="37" t="s">
        <v>72</v>
      </c>
      <c r="C12" s="41" t="e">
        <f>+C11/D3</f>
        <v>#REF!</v>
      </c>
      <c r="D12" s="41"/>
      <c r="G12">
        <v>1</v>
      </c>
      <c r="H12" t="s">
        <v>73</v>
      </c>
      <c r="I12" t="s">
        <v>74</v>
      </c>
      <c r="J12" s="5">
        <f>+F30</f>
        <v>1850</v>
      </c>
    </row>
    <row r="13" spans="2:10" x14ac:dyDescent="0.35">
      <c r="B13" s="37" t="s">
        <v>75</v>
      </c>
      <c r="C13" s="41" t="e">
        <f>+C12/15</f>
        <v>#REF!</v>
      </c>
      <c r="D13" s="41"/>
      <c r="G13">
        <v>2</v>
      </c>
      <c r="H13" t="s">
        <v>76</v>
      </c>
      <c r="I13" t="s">
        <v>77</v>
      </c>
      <c r="J13" s="4" t="s">
        <v>78</v>
      </c>
    </row>
    <row r="14" spans="2:10" x14ac:dyDescent="0.35">
      <c r="B14" s="37" t="s">
        <v>79</v>
      </c>
      <c r="C14" s="39" t="s">
        <v>80</v>
      </c>
      <c r="D14" s="43" t="e">
        <f>+$C$13/D6</f>
        <v>#REF!</v>
      </c>
      <c r="G14">
        <v>3</v>
      </c>
      <c r="H14" t="s">
        <v>81</v>
      </c>
      <c r="I14" t="s">
        <v>82</v>
      </c>
      <c r="J14" s="55">
        <f>+H30</f>
        <v>1.3214285714285715E-2</v>
      </c>
    </row>
    <row r="15" spans="2:10" x14ac:dyDescent="0.35">
      <c r="B15" s="37" t="s">
        <v>83</v>
      </c>
      <c r="C15" s="39" t="s">
        <v>84</v>
      </c>
      <c r="D15" s="43" t="e">
        <f>+$C$13/D7</f>
        <v>#REF!</v>
      </c>
    </row>
    <row r="16" spans="2:10" x14ac:dyDescent="0.35">
      <c r="B16" s="37" t="s">
        <v>85</v>
      </c>
      <c r="C16" s="39" t="s">
        <v>86</v>
      </c>
      <c r="D16" s="43" t="e">
        <f>+$C$13/D8</f>
        <v>#REF!</v>
      </c>
    </row>
    <row r="17" spans="2:10" x14ac:dyDescent="0.35">
      <c r="B17" s="37" t="s">
        <v>87</v>
      </c>
      <c r="C17" s="39" t="s">
        <v>88</v>
      </c>
      <c r="D17" s="43" t="e">
        <f>+$C$13/D9</f>
        <v>#REF!</v>
      </c>
    </row>
    <row r="20" spans="2:10" ht="21" x14ac:dyDescent="0.35">
      <c r="B20" s="108" t="s">
        <v>89</v>
      </c>
      <c r="C20" s="108"/>
      <c r="F20" s="36"/>
      <c r="G20" s="81" t="s">
        <v>90</v>
      </c>
      <c r="H20" s="81" t="s">
        <v>91</v>
      </c>
      <c r="I20" s="81" t="s">
        <v>92</v>
      </c>
      <c r="J20" s="81" t="s">
        <v>2</v>
      </c>
    </row>
    <row r="21" spans="2:10" x14ac:dyDescent="0.35">
      <c r="B21" s="29" t="s">
        <v>93</v>
      </c>
      <c r="C21" s="44" t="e">
        <f>D5</f>
        <v>#REF!</v>
      </c>
      <c r="F21" s="81" t="s">
        <v>1</v>
      </c>
      <c r="G21" s="36">
        <v>20</v>
      </c>
      <c r="H21" s="36">
        <v>20</v>
      </c>
      <c r="I21" s="36">
        <v>20</v>
      </c>
      <c r="J21" s="32">
        <f>+SUM(G21:I21)</f>
        <v>60</v>
      </c>
    </row>
    <row r="22" spans="2:10" x14ac:dyDescent="0.35">
      <c r="B22" s="29" t="s">
        <v>94</v>
      </c>
      <c r="C22" s="34">
        <v>0.1</v>
      </c>
      <c r="F22" s="81" t="s">
        <v>95</v>
      </c>
      <c r="G22" s="36">
        <v>490</v>
      </c>
      <c r="H22" s="36">
        <v>490</v>
      </c>
      <c r="I22" s="36">
        <v>490</v>
      </c>
      <c r="J22" s="32">
        <f t="shared" ref="J22:J23" si="1">+SUM(G22:I22)</f>
        <v>1470</v>
      </c>
    </row>
    <row r="23" spans="2:10" x14ac:dyDescent="0.35">
      <c r="B23" s="29" t="s">
        <v>96</v>
      </c>
      <c r="C23" s="44" t="e">
        <f>C21*10%</f>
        <v>#REF!</v>
      </c>
      <c r="F23" s="82" t="s">
        <v>97</v>
      </c>
      <c r="G23" s="36">
        <v>2310</v>
      </c>
      <c r="H23" s="36">
        <v>2310</v>
      </c>
      <c r="I23" s="36">
        <v>2310</v>
      </c>
      <c r="J23" s="32">
        <f t="shared" si="1"/>
        <v>6930</v>
      </c>
    </row>
    <row r="24" spans="2:10" x14ac:dyDescent="0.35">
      <c r="B24" s="29" t="s">
        <v>98</v>
      </c>
      <c r="C24" s="44" t="e">
        <f>+C21+C23</f>
        <v>#REF!</v>
      </c>
      <c r="F24" s="81" t="s">
        <v>99</v>
      </c>
      <c r="G24" s="32">
        <f t="shared" ref="G24:H24" si="2">+G23+G22</f>
        <v>2800</v>
      </c>
      <c r="H24" s="32">
        <f t="shared" si="2"/>
        <v>2800</v>
      </c>
      <c r="I24" s="32">
        <f>+I23+I22</f>
        <v>2800</v>
      </c>
      <c r="J24" s="32">
        <f>+J22+J23</f>
        <v>8400</v>
      </c>
    </row>
    <row r="25" spans="2:10" x14ac:dyDescent="0.35">
      <c r="B25" s="29" t="s">
        <v>100</v>
      </c>
      <c r="C25" s="34">
        <v>0.1</v>
      </c>
    </row>
    <row r="26" spans="2:10" x14ac:dyDescent="0.35">
      <c r="B26" s="29" t="s">
        <v>101</v>
      </c>
      <c r="C26" s="44" t="e">
        <f>C24*C25</f>
        <v>#REF!</v>
      </c>
      <c r="D26" s="46"/>
      <c r="E26" s="46"/>
    </row>
    <row r="27" spans="2:10" x14ac:dyDescent="0.35">
      <c r="B27" s="29" t="s">
        <v>102</v>
      </c>
      <c r="C27" s="85" t="e">
        <f>+C24+C26</f>
        <v>#REF!</v>
      </c>
      <c r="D27" s="13"/>
    </row>
    <row r="28" spans="2:10" x14ac:dyDescent="0.35">
      <c r="B28" s="29" t="s">
        <v>103</v>
      </c>
      <c r="C28" s="34">
        <v>0.09</v>
      </c>
      <c r="D28" s="9"/>
      <c r="I28" s="89" t="s">
        <v>104</v>
      </c>
    </row>
    <row r="29" spans="2:10" x14ac:dyDescent="0.35">
      <c r="B29" s="29" t="s">
        <v>105</v>
      </c>
      <c r="C29" s="44" t="e">
        <f>C27*C28</f>
        <v>#REF!</v>
      </c>
      <c r="D29" s="1"/>
      <c r="F29" s="75" t="s">
        <v>106</v>
      </c>
      <c r="G29" s="76" t="s">
        <v>107</v>
      </c>
      <c r="H29" s="76" t="s">
        <v>108</v>
      </c>
      <c r="I29" s="76" t="s">
        <v>109</v>
      </c>
      <c r="J29" s="76" t="s">
        <v>110</v>
      </c>
    </row>
    <row r="30" spans="2:10" x14ac:dyDescent="0.35">
      <c r="B30" s="29" t="s">
        <v>111</v>
      </c>
      <c r="C30" s="44" t="e">
        <f>+C23+C26+C29</f>
        <v>#REF!</v>
      </c>
      <c r="D30" s="9"/>
      <c r="F30" s="68">
        <f>$G$30*50</f>
        <v>1850</v>
      </c>
      <c r="G30" s="36">
        <f>ROUNDUP((-$I$30/$D$40),0)</f>
        <v>37</v>
      </c>
      <c r="H30" s="35">
        <f>$G$30/$G$24</f>
        <v>1.3214285714285715E-2</v>
      </c>
      <c r="I30" s="70">
        <v>54020000</v>
      </c>
      <c r="J30" s="71">
        <f>$G$30*-$D$40</f>
        <v>54020000</v>
      </c>
    </row>
    <row r="31" spans="2:10" x14ac:dyDescent="0.35">
      <c r="B31" s="29" t="s">
        <v>2</v>
      </c>
      <c r="C31" s="44" t="e">
        <f>(+C21+C23+C26+C29)</f>
        <v>#REF!</v>
      </c>
      <c r="D31" s="47"/>
      <c r="F31" s="83"/>
      <c r="G31" s="69"/>
    </row>
    <row r="32" spans="2:10" x14ac:dyDescent="0.35">
      <c r="B32" s="29" t="s">
        <v>112</v>
      </c>
      <c r="C32" s="84">
        <v>0.2</v>
      </c>
      <c r="D32" s="47"/>
      <c r="F32" s="13"/>
      <c r="G32" s="12" t="s">
        <v>113</v>
      </c>
      <c r="H32" s="12" t="s">
        <v>114</v>
      </c>
      <c r="I32" s="12" t="s">
        <v>115</v>
      </c>
      <c r="J32" s="91" t="s">
        <v>116</v>
      </c>
    </row>
    <row r="33" spans="2:13" x14ac:dyDescent="0.35">
      <c r="B33" s="29" t="s">
        <v>117</v>
      </c>
      <c r="C33" s="44" t="e">
        <f>C31*C32</f>
        <v>#REF!</v>
      </c>
      <c r="G33" s="3">
        <v>10.830500000000001</v>
      </c>
      <c r="H33" s="18">
        <v>30000000</v>
      </c>
      <c r="I33" s="18">
        <f>+H33*G33</f>
        <v>324915000</v>
      </c>
      <c r="J33" s="92">
        <f>+I30/I33</f>
        <v>0.166258867703861</v>
      </c>
    </row>
    <row r="34" spans="2:13" x14ac:dyDescent="0.35">
      <c r="B34" s="30" t="s">
        <v>118</v>
      </c>
      <c r="C34" s="44">
        <v>200000</v>
      </c>
      <c r="H34" s="7"/>
      <c r="J34" s="90"/>
    </row>
    <row r="35" spans="2:13" x14ac:dyDescent="0.35">
      <c r="B35" s="29" t="s">
        <v>119</v>
      </c>
      <c r="C35" s="45" t="e">
        <f>+C31+C33+C34</f>
        <v>#REF!</v>
      </c>
      <c r="D35" s="13"/>
      <c r="F35" s="13"/>
      <c r="G35" s="10"/>
    </row>
    <row r="36" spans="2:13" x14ac:dyDescent="0.35">
      <c r="D36" s="13"/>
      <c r="F36" s="13"/>
      <c r="H36" s="10"/>
    </row>
    <row r="37" spans="2:13" x14ac:dyDescent="0.35">
      <c r="D37" s="1"/>
      <c r="F37" s="13"/>
    </row>
    <row r="38" spans="2:13" ht="21" x14ac:dyDescent="0.35">
      <c r="B38" s="109" t="s">
        <v>120</v>
      </c>
      <c r="C38" s="110"/>
      <c r="D38" s="110"/>
      <c r="E38" s="110"/>
      <c r="F38" s="110"/>
      <c r="G38" s="110"/>
      <c r="H38" s="110"/>
      <c r="I38" s="110"/>
      <c r="J38" s="111"/>
    </row>
    <row r="39" spans="2:13" x14ac:dyDescent="0.35">
      <c r="B39" s="29"/>
      <c r="C39" s="29"/>
      <c r="D39" s="77">
        <v>0</v>
      </c>
      <c r="E39" s="32">
        <v>1</v>
      </c>
      <c r="F39" s="32">
        <v>2</v>
      </c>
      <c r="G39" s="32">
        <v>3</v>
      </c>
      <c r="H39" s="32">
        <v>4</v>
      </c>
      <c r="I39" s="32">
        <v>5</v>
      </c>
      <c r="J39" s="32" t="s">
        <v>121</v>
      </c>
    </row>
    <row r="40" spans="2:13" x14ac:dyDescent="0.35">
      <c r="B40" s="49" t="s">
        <v>122</v>
      </c>
      <c r="C40" s="29"/>
      <c r="D40" s="73">
        <f>-1460000</f>
        <v>-1460000</v>
      </c>
      <c r="E40" s="78" t="e">
        <f>+#REF!/$D$3</f>
        <v>#REF!</v>
      </c>
      <c r="F40" s="78" t="e">
        <f>+#REF!/$D$3</f>
        <v>#REF!</v>
      </c>
      <c r="G40" s="78" t="e">
        <f>+#REF!/$D$3</f>
        <v>#REF!</v>
      </c>
      <c r="H40" s="78" t="e">
        <f>+#REF!/$D$3</f>
        <v>#REF!</v>
      </c>
      <c r="I40" s="78" t="e">
        <f>+#REF!/$D$3</f>
        <v>#REF!</v>
      </c>
      <c r="J40" s="78" t="e">
        <f>I40*(1+#REF!)/(#REF!-#REF!)</f>
        <v>#REF!</v>
      </c>
    </row>
    <row r="41" spans="2:13" x14ac:dyDescent="0.35">
      <c r="B41" s="57" t="s">
        <v>123</v>
      </c>
      <c r="C41" s="57"/>
      <c r="D41" s="57"/>
      <c r="E41" s="57"/>
      <c r="F41" s="58" t="e">
        <f>-F40/$D$40</f>
        <v>#REF!</v>
      </c>
      <c r="G41" s="50" t="e">
        <f>-G40/$D$40</f>
        <v>#REF!</v>
      </c>
      <c r="H41" s="50" t="e">
        <f>-H40/$D$40</f>
        <v>#REF!</v>
      </c>
      <c r="I41" s="50" t="e">
        <f>-I40/$D$40</f>
        <v>#REF!</v>
      </c>
      <c r="J41" s="50" t="e">
        <f>-J40/$D$40</f>
        <v>#REF!</v>
      </c>
    </row>
    <row r="42" spans="2:13" x14ac:dyDescent="0.35">
      <c r="B42" s="29"/>
      <c r="C42" s="29"/>
      <c r="D42" s="33"/>
      <c r="E42" s="29"/>
      <c r="F42" s="33" t="e">
        <f>F41-6%</f>
        <v>#REF!</v>
      </c>
      <c r="G42" s="33" t="e">
        <f>G41-6%</f>
        <v>#REF!</v>
      </c>
      <c r="H42" s="33" t="e">
        <f t="shared" ref="H42:I42" si="3">H41-6%</f>
        <v>#REF!</v>
      </c>
      <c r="I42" s="33" t="e">
        <f t="shared" si="3"/>
        <v>#REF!</v>
      </c>
      <c r="J42" s="29"/>
    </row>
    <row r="43" spans="2:13" x14ac:dyDescent="0.35">
      <c r="B43" s="51" t="s">
        <v>124</v>
      </c>
      <c r="C43" s="56" t="e">
        <f>IRR(D40:J40)</f>
        <v>#VALUE!</v>
      </c>
      <c r="D43" s="29"/>
      <c r="E43" s="29"/>
      <c r="F43" s="29"/>
      <c r="G43" s="29"/>
      <c r="H43" s="29"/>
      <c r="I43" s="29"/>
      <c r="J43" s="29"/>
    </row>
    <row r="44" spans="2:13" x14ac:dyDescent="0.35">
      <c r="B44" s="29" t="s">
        <v>7</v>
      </c>
      <c r="C44" s="53" t="e">
        <f>NPV(#REF!,RESUMEN!D40:J40)</f>
        <v>#REF!</v>
      </c>
      <c r="D44" s="29"/>
      <c r="E44" s="29"/>
      <c r="F44" s="29"/>
      <c r="G44" s="29"/>
      <c r="H44" s="29"/>
      <c r="I44" s="29"/>
      <c r="J44" s="29"/>
      <c r="K44" s="13"/>
      <c r="M44" s="13"/>
    </row>
    <row r="45" spans="2:13" x14ac:dyDescent="0.35">
      <c r="C45" s="54"/>
      <c r="F45" s="13"/>
      <c r="G45" s="13"/>
    </row>
    <row r="46" spans="2:13" x14ac:dyDescent="0.35">
      <c r="C46" s="54"/>
      <c r="F46" s="13"/>
      <c r="G46" s="13"/>
    </row>
    <row r="47" spans="2:13" ht="21" x14ac:dyDescent="0.35">
      <c r="B47" s="112" t="s">
        <v>125</v>
      </c>
      <c r="C47" s="113"/>
      <c r="D47" s="113"/>
      <c r="E47" s="113"/>
      <c r="F47" s="113"/>
      <c r="G47" s="113"/>
      <c r="H47" s="113"/>
      <c r="I47" s="113"/>
      <c r="J47" s="114"/>
      <c r="K47" s="54"/>
    </row>
    <row r="48" spans="2:13" x14ac:dyDescent="0.35">
      <c r="B48" s="59"/>
      <c r="C48" s="60"/>
      <c r="D48" s="72">
        <v>0</v>
      </c>
      <c r="E48" s="61">
        <v>1</v>
      </c>
      <c r="F48" s="61">
        <v>2</v>
      </c>
      <c r="G48" s="61">
        <v>3</v>
      </c>
      <c r="H48" s="61">
        <v>4</v>
      </c>
      <c r="I48" s="61">
        <v>5</v>
      </c>
      <c r="J48" s="61" t="s">
        <v>121</v>
      </c>
      <c r="L48" s="11" t="s">
        <v>126</v>
      </c>
    </row>
    <row r="49" spans="2:13" x14ac:dyDescent="0.35">
      <c r="B49" s="51" t="s">
        <v>127</v>
      </c>
      <c r="C49" s="60"/>
      <c r="D49" s="73">
        <f>D40*G30</f>
        <v>-54020000</v>
      </c>
      <c r="E49" s="74">
        <v>0</v>
      </c>
      <c r="F49" s="74" t="e">
        <f>(#REF!/$D$3)*$G$30</f>
        <v>#REF!</v>
      </c>
      <c r="G49" s="74" t="e">
        <f>(#REF!/$D$3)*$G$30</f>
        <v>#REF!</v>
      </c>
      <c r="H49" s="74" t="e">
        <f>(#REF!/$D$3)*$G$30</f>
        <v>#REF!</v>
      </c>
      <c r="I49" s="74" t="e">
        <f>(#REF!/$D$3)*$G$30</f>
        <v>#REF!</v>
      </c>
      <c r="J49" s="74" t="e">
        <f>I49*(1+#REF!)/(#REF!-#REF!)</f>
        <v>#REF!</v>
      </c>
      <c r="L49" s="87" t="e">
        <f>+SUM(F49:I49)</f>
        <v>#REF!</v>
      </c>
    </row>
    <row r="50" spans="2:13" x14ac:dyDescent="0.35">
      <c r="B50" s="62" t="s">
        <v>123</v>
      </c>
      <c r="C50" s="63"/>
      <c r="D50" s="63"/>
      <c r="E50" s="63"/>
      <c r="F50" s="79" t="e">
        <f>-F49/$D$49</f>
        <v>#REF!</v>
      </c>
      <c r="G50" s="79" t="e">
        <f t="shared" ref="G50:I50" si="4">-G49/$D$49</f>
        <v>#REF!</v>
      </c>
      <c r="H50" s="79" t="e">
        <f t="shared" si="4"/>
        <v>#REF!</v>
      </c>
      <c r="I50" s="79" t="e">
        <f t="shared" si="4"/>
        <v>#REF!</v>
      </c>
      <c r="J50" s="64">
        <v>13.21</v>
      </c>
      <c r="K50" s="1"/>
      <c r="L50" s="11" t="s">
        <v>128</v>
      </c>
    </row>
    <row r="51" spans="2:13" x14ac:dyDescent="0.35">
      <c r="B51" s="59" t="s">
        <v>129</v>
      </c>
      <c r="C51" s="60"/>
      <c r="D51" s="65"/>
      <c r="E51" s="60"/>
      <c r="F51" s="80" t="e">
        <f>F50-6%</f>
        <v>#REF!</v>
      </c>
      <c r="G51" s="80" t="e">
        <f>G50-6%</f>
        <v>#REF!</v>
      </c>
      <c r="H51" s="80" t="e">
        <f t="shared" ref="H51:I51" si="5">H50-6%</f>
        <v>#REF!</v>
      </c>
      <c r="I51" s="80" t="e">
        <f t="shared" si="5"/>
        <v>#REF!</v>
      </c>
      <c r="J51" s="60"/>
      <c r="L51" s="86" t="e">
        <f>+-L49/D49-1</f>
        <v>#REF!</v>
      </c>
      <c r="M51" s="31" t="s">
        <v>130</v>
      </c>
    </row>
    <row r="52" spans="2:13" x14ac:dyDescent="0.35">
      <c r="B52" s="51" t="s">
        <v>124</v>
      </c>
      <c r="C52" s="67" t="e">
        <f>IRR(D49:J49)</f>
        <v>#VALUE!</v>
      </c>
      <c r="D52" s="60"/>
      <c r="E52" s="60"/>
      <c r="F52" s="60"/>
      <c r="G52" s="60"/>
      <c r="H52" s="60"/>
      <c r="I52" s="60"/>
      <c r="J52" s="60"/>
      <c r="L52" s="11" t="s">
        <v>131</v>
      </c>
    </row>
    <row r="53" spans="2:13" x14ac:dyDescent="0.35">
      <c r="B53" s="59" t="s">
        <v>7</v>
      </c>
      <c r="C53" s="66" t="e">
        <f>NPV(#REF!,RESUMEN!D49:J49)</f>
        <v>#REF!</v>
      </c>
      <c r="D53" s="60"/>
      <c r="E53" s="60"/>
      <c r="F53" s="60"/>
      <c r="G53" s="60"/>
      <c r="H53" s="60"/>
      <c r="I53" s="60"/>
      <c r="J53" s="60"/>
      <c r="L53" s="88" t="e">
        <f>+SUM(#REF!)*RESUMEN!$H$30</f>
        <v>#REF!</v>
      </c>
      <c r="M53" s="86" t="e">
        <f>+-L53/D49</f>
        <v>#REF!</v>
      </c>
    </row>
    <row r="55" spans="2:13" x14ac:dyDescent="0.35">
      <c r="L55" s="13"/>
    </row>
    <row r="56" spans="2:13" ht="21" x14ac:dyDescent="0.35">
      <c r="B56" s="105" t="s">
        <v>132</v>
      </c>
      <c r="C56" s="106"/>
      <c r="D56" s="106"/>
      <c r="E56" s="106"/>
      <c r="F56" s="106"/>
      <c r="G56" s="106"/>
      <c r="H56" s="106"/>
      <c r="I56" s="106"/>
      <c r="J56" s="107"/>
      <c r="L56" s="13"/>
    </row>
    <row r="57" spans="2:13" x14ac:dyDescent="0.35">
      <c r="B57" s="29"/>
      <c r="C57" s="29"/>
      <c r="D57" s="48">
        <v>0</v>
      </c>
      <c r="E57" s="31">
        <v>1</v>
      </c>
      <c r="F57" s="31">
        <v>2</v>
      </c>
      <c r="G57" s="31">
        <v>3</v>
      </c>
      <c r="H57" s="31">
        <v>4</v>
      </c>
      <c r="I57" s="31">
        <v>5</v>
      </c>
      <c r="J57" s="32" t="s">
        <v>121</v>
      </c>
    </row>
    <row r="58" spans="2:13" x14ac:dyDescent="0.35">
      <c r="B58" s="49" t="s">
        <v>122</v>
      </c>
      <c r="C58" s="29"/>
      <c r="D58" s="44" t="e">
        <f>-C35</f>
        <v>#REF!</v>
      </c>
      <c r="E58" s="44" t="e">
        <f>+#REF!/$D$3</f>
        <v>#REF!</v>
      </c>
      <c r="F58" s="44" t="e">
        <f>+#REF!/$D$3</f>
        <v>#REF!</v>
      </c>
      <c r="G58" s="44" t="e">
        <f>+#REF!/$D$3</f>
        <v>#REF!</v>
      </c>
      <c r="H58" s="44" t="e">
        <f>+#REF!/$D$3</f>
        <v>#REF!</v>
      </c>
      <c r="I58" s="44" t="e">
        <f>+#REF!/$D$3</f>
        <v>#REF!</v>
      </c>
      <c r="J58" s="44" t="e">
        <f>I58*(1+#REF!)/(#REF!-#REF!)</f>
        <v>#REF!</v>
      </c>
    </row>
    <row r="59" spans="2:13" x14ac:dyDescent="0.35">
      <c r="B59" s="57" t="s">
        <v>123</v>
      </c>
      <c r="C59" s="57"/>
      <c r="D59" s="57"/>
      <c r="E59" s="57"/>
      <c r="F59" s="58" t="e">
        <f>-F58/$D$58</f>
        <v>#REF!</v>
      </c>
      <c r="G59" s="50" t="e">
        <f>-G58/$D$58</f>
        <v>#REF!</v>
      </c>
      <c r="H59" s="50" t="e">
        <f>-H58/$D$58</f>
        <v>#REF!</v>
      </c>
      <c r="I59" s="50" t="e">
        <f>-I58/$D$58</f>
        <v>#REF!</v>
      </c>
      <c r="J59" s="50" t="e">
        <f>-J58/$D$40</f>
        <v>#REF!</v>
      </c>
    </row>
    <row r="60" spans="2:13" x14ac:dyDescent="0.35">
      <c r="B60" s="29" t="s">
        <v>129</v>
      </c>
      <c r="C60" s="29"/>
      <c r="D60" s="33"/>
      <c r="E60" s="29"/>
      <c r="F60" s="33" t="e">
        <f>F59-6%</f>
        <v>#REF!</v>
      </c>
      <c r="G60" s="33" t="e">
        <f t="shared" ref="G60:I60" si="6">G59-6%</f>
        <v>#REF!</v>
      </c>
      <c r="H60" s="33" t="e">
        <f t="shared" si="6"/>
        <v>#REF!</v>
      </c>
      <c r="I60" s="33" t="e">
        <f t="shared" si="6"/>
        <v>#REF!</v>
      </c>
      <c r="J60" s="29"/>
    </row>
    <row r="61" spans="2:13" x14ac:dyDescent="0.35">
      <c r="B61" s="51" t="s">
        <v>124</v>
      </c>
      <c r="C61" s="52" t="e">
        <f>IRR(D58:J58)</f>
        <v>#VALUE!</v>
      </c>
    </row>
    <row r="62" spans="2:13" x14ac:dyDescent="0.35">
      <c r="B62" s="29" t="s">
        <v>7</v>
      </c>
      <c r="C62" s="53" t="e">
        <f>NPV(#REF!,D58:J58)</f>
        <v>#REF!</v>
      </c>
    </row>
    <row r="63" spans="2:13" x14ac:dyDescent="0.35">
      <c r="D63" s="13"/>
    </row>
    <row r="65" spans="4:4" x14ac:dyDescent="0.35">
      <c r="D65" s="13"/>
    </row>
  </sheetData>
  <mergeCells count="5">
    <mergeCell ref="B56:J56"/>
    <mergeCell ref="B2:D2"/>
    <mergeCell ref="B20:C20"/>
    <mergeCell ref="B38:J38"/>
    <mergeCell ref="B47:J4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7"/>
  <sheetViews>
    <sheetView showGridLines="0" tabSelected="1" topLeftCell="A46" zoomScale="95" zoomScaleNormal="95" workbookViewId="0">
      <selection activeCell="A60" sqref="A60"/>
    </sheetView>
  </sheetViews>
  <sheetFormatPr baseColWidth="10" defaultColWidth="10.54296875" defaultRowHeight="14.5" x14ac:dyDescent="0.35"/>
  <cols>
    <col min="1" max="1" width="32.453125" bestFit="1" customWidth="1"/>
    <col min="2" max="2" width="24.81640625" customWidth="1"/>
    <col min="3" max="3" width="11.7265625" bestFit="1" customWidth="1"/>
    <col min="4" max="22" width="12.81640625" bestFit="1" customWidth="1"/>
    <col min="23" max="23" width="12.7265625" bestFit="1" customWidth="1"/>
  </cols>
  <sheetData>
    <row r="1" spans="1:23" x14ac:dyDescent="0.35">
      <c r="A1" s="117" t="s">
        <v>161</v>
      </c>
      <c r="B1" s="117"/>
      <c r="C1" s="117"/>
      <c r="D1" s="117"/>
      <c r="E1" s="117"/>
      <c r="F1" s="117"/>
      <c r="G1" s="117"/>
      <c r="H1" s="117"/>
      <c r="I1" s="117"/>
      <c r="J1" s="117"/>
      <c r="K1" s="3"/>
    </row>
    <row r="2" spans="1:23" x14ac:dyDescent="0.35">
      <c r="A2" s="11" t="s">
        <v>151</v>
      </c>
      <c r="B2" s="13"/>
      <c r="C2" s="2"/>
      <c r="D2" s="2"/>
      <c r="E2" s="2"/>
      <c r="F2" s="2"/>
      <c r="G2" s="2"/>
      <c r="H2" s="2"/>
      <c r="I2" s="2"/>
    </row>
    <row r="3" spans="1:23" x14ac:dyDescent="0.35">
      <c r="A3" s="94">
        <v>1</v>
      </c>
      <c r="B3" s="32" t="s">
        <v>134</v>
      </c>
      <c r="C3" s="32" t="s">
        <v>135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136</v>
      </c>
      <c r="I3" s="32" t="s">
        <v>137</v>
      </c>
      <c r="J3" s="32" t="s">
        <v>138</v>
      </c>
      <c r="K3" s="32" t="s">
        <v>139</v>
      </c>
      <c r="L3" s="32" t="s">
        <v>140</v>
      </c>
      <c r="M3" s="32" t="s">
        <v>141</v>
      </c>
      <c r="N3" s="32" t="s">
        <v>142</v>
      </c>
      <c r="O3" s="32" t="s">
        <v>143</v>
      </c>
      <c r="P3" s="32" t="s">
        <v>144</v>
      </c>
      <c r="Q3" s="32" t="s">
        <v>145</v>
      </c>
      <c r="R3" s="32" t="s">
        <v>146</v>
      </c>
      <c r="S3" s="32" t="s">
        <v>147</v>
      </c>
      <c r="T3" s="32" t="s">
        <v>148</v>
      </c>
      <c r="U3" s="32" t="s">
        <v>149</v>
      </c>
      <c r="V3" s="32" t="s">
        <v>150</v>
      </c>
    </row>
    <row r="4" spans="1:23" x14ac:dyDescent="0.35">
      <c r="A4" s="98" t="s">
        <v>159</v>
      </c>
      <c r="B4" s="36">
        <v>0</v>
      </c>
      <c r="C4" s="36">
        <v>20</v>
      </c>
      <c r="D4" s="36">
        <v>60</v>
      </c>
      <c r="E4" s="36">
        <v>100</v>
      </c>
      <c r="F4" s="36">
        <v>100</v>
      </c>
      <c r="G4" s="36">
        <v>100</v>
      </c>
      <c r="H4" s="36">
        <v>100</v>
      </c>
      <c r="I4" s="36">
        <v>100</v>
      </c>
      <c r="J4" s="36">
        <v>100</v>
      </c>
      <c r="K4" s="36">
        <v>100</v>
      </c>
      <c r="L4" s="36">
        <v>100</v>
      </c>
      <c r="M4" s="36">
        <v>100</v>
      </c>
      <c r="N4" s="36">
        <v>100</v>
      </c>
      <c r="O4" s="36">
        <v>100</v>
      </c>
      <c r="P4" s="36">
        <v>100</v>
      </c>
      <c r="Q4" s="36">
        <v>100</v>
      </c>
      <c r="R4" s="36">
        <v>100</v>
      </c>
      <c r="S4" s="36">
        <v>100</v>
      </c>
      <c r="T4" s="36">
        <v>100</v>
      </c>
      <c r="U4" s="36">
        <v>100</v>
      </c>
      <c r="V4" s="36">
        <v>100</v>
      </c>
    </row>
    <row r="5" spans="1:23" x14ac:dyDescent="0.35">
      <c r="A5" s="98" t="s">
        <v>133</v>
      </c>
      <c r="B5" s="71">
        <v>0</v>
      </c>
      <c r="C5" s="71">
        <v>2300</v>
      </c>
      <c r="D5" s="71">
        <f>+C5*(1+5%)</f>
        <v>2415</v>
      </c>
      <c r="E5" s="71">
        <f t="shared" ref="E5:V5" si="0">+D5*(1+5%)</f>
        <v>2535.75</v>
      </c>
      <c r="F5" s="71">
        <f t="shared" si="0"/>
        <v>2662.5374999999999</v>
      </c>
      <c r="G5" s="71">
        <f t="shared" si="0"/>
        <v>2795.6643749999998</v>
      </c>
      <c r="H5" s="71">
        <f t="shared" si="0"/>
        <v>2935.4475937500001</v>
      </c>
      <c r="I5" s="71">
        <f t="shared" si="0"/>
        <v>3082.2199734375004</v>
      </c>
      <c r="J5" s="71">
        <f t="shared" si="0"/>
        <v>3236.3309721093756</v>
      </c>
      <c r="K5" s="71">
        <f t="shared" si="0"/>
        <v>3398.1475207148446</v>
      </c>
      <c r="L5" s="71">
        <f t="shared" si="0"/>
        <v>3568.054896750587</v>
      </c>
      <c r="M5" s="71">
        <f t="shared" si="0"/>
        <v>3746.4576415881165</v>
      </c>
      <c r="N5" s="71">
        <f t="shared" si="0"/>
        <v>3933.7805236675226</v>
      </c>
      <c r="O5" s="71">
        <f t="shared" si="0"/>
        <v>4130.4695498508991</v>
      </c>
      <c r="P5" s="71">
        <f t="shared" si="0"/>
        <v>4336.9930273434438</v>
      </c>
      <c r="Q5" s="71">
        <f t="shared" si="0"/>
        <v>4553.8426787106164</v>
      </c>
      <c r="R5" s="71">
        <f t="shared" si="0"/>
        <v>4781.5348126461477</v>
      </c>
      <c r="S5" s="71">
        <f t="shared" si="0"/>
        <v>5020.6115532784552</v>
      </c>
      <c r="T5" s="71">
        <f t="shared" si="0"/>
        <v>5271.6421309423786</v>
      </c>
      <c r="U5" s="71">
        <f t="shared" si="0"/>
        <v>5535.2242374894977</v>
      </c>
      <c r="V5" s="71">
        <f t="shared" si="0"/>
        <v>5811.9854493639732</v>
      </c>
    </row>
    <row r="6" spans="1:23" x14ac:dyDescent="0.35">
      <c r="A6" s="98" t="s">
        <v>160</v>
      </c>
      <c r="B6" s="36">
        <f>+B4*$A$3</f>
        <v>0</v>
      </c>
      <c r="C6" s="36">
        <f t="shared" ref="C6:V6" si="1">+C4*$A$3</f>
        <v>20</v>
      </c>
      <c r="D6" s="36">
        <f t="shared" si="1"/>
        <v>60</v>
      </c>
      <c r="E6" s="36">
        <v>70</v>
      </c>
      <c r="F6" s="36">
        <f>+F4*$A$3</f>
        <v>100</v>
      </c>
      <c r="G6" s="36">
        <f t="shared" si="1"/>
        <v>100</v>
      </c>
      <c r="H6" s="36">
        <f t="shared" si="1"/>
        <v>100</v>
      </c>
      <c r="I6" s="36">
        <f t="shared" si="1"/>
        <v>100</v>
      </c>
      <c r="J6" s="36">
        <f t="shared" si="1"/>
        <v>100</v>
      </c>
      <c r="K6" s="36">
        <f t="shared" si="1"/>
        <v>100</v>
      </c>
      <c r="L6" s="36">
        <f t="shared" si="1"/>
        <v>100</v>
      </c>
      <c r="M6" s="36">
        <f t="shared" si="1"/>
        <v>100</v>
      </c>
      <c r="N6" s="36">
        <f t="shared" si="1"/>
        <v>100</v>
      </c>
      <c r="O6" s="36">
        <f t="shared" si="1"/>
        <v>100</v>
      </c>
      <c r="P6" s="36">
        <f t="shared" si="1"/>
        <v>100</v>
      </c>
      <c r="Q6" s="36">
        <f t="shared" si="1"/>
        <v>100</v>
      </c>
      <c r="R6" s="36">
        <f t="shared" si="1"/>
        <v>100</v>
      </c>
      <c r="S6" s="36">
        <f t="shared" si="1"/>
        <v>100</v>
      </c>
      <c r="T6" s="36">
        <f t="shared" si="1"/>
        <v>100</v>
      </c>
      <c r="U6" s="36">
        <f t="shared" si="1"/>
        <v>100</v>
      </c>
      <c r="V6" s="36">
        <f t="shared" si="1"/>
        <v>100</v>
      </c>
    </row>
    <row r="7" spans="1:23" x14ac:dyDescent="0.35">
      <c r="A7" s="99" t="s">
        <v>152</v>
      </c>
      <c r="B7" s="93">
        <f>+B6*C5</f>
        <v>0</v>
      </c>
      <c r="C7" s="93">
        <f t="shared" ref="C7:V7" si="2">+C6*C5</f>
        <v>46000</v>
      </c>
      <c r="D7" s="93">
        <f t="shared" si="2"/>
        <v>144900</v>
      </c>
      <c r="E7" s="93">
        <f t="shared" si="2"/>
        <v>177502.5</v>
      </c>
      <c r="F7" s="93">
        <f>+F6*F5</f>
        <v>266253.75</v>
      </c>
      <c r="G7" s="93">
        <f t="shared" si="2"/>
        <v>279566.4375</v>
      </c>
      <c r="H7" s="93">
        <f t="shared" si="2"/>
        <v>293544.75937500002</v>
      </c>
      <c r="I7" s="93">
        <f t="shared" si="2"/>
        <v>308221.99734375003</v>
      </c>
      <c r="J7" s="93">
        <f t="shared" si="2"/>
        <v>323633.09721093753</v>
      </c>
      <c r="K7" s="93">
        <f t="shared" si="2"/>
        <v>339814.75207148446</v>
      </c>
      <c r="L7" s="93">
        <f t="shared" si="2"/>
        <v>356805.48967505869</v>
      </c>
      <c r="M7" s="93">
        <f t="shared" si="2"/>
        <v>374645.76415881165</v>
      </c>
      <c r="N7" s="93">
        <f t="shared" si="2"/>
        <v>393378.05236675224</v>
      </c>
      <c r="O7" s="93">
        <f t="shared" si="2"/>
        <v>413046.95498508989</v>
      </c>
      <c r="P7" s="93">
        <f t="shared" si="2"/>
        <v>433699.30273434438</v>
      </c>
      <c r="Q7" s="93">
        <f t="shared" si="2"/>
        <v>455384.26787106163</v>
      </c>
      <c r="R7" s="93">
        <f t="shared" si="2"/>
        <v>478153.48126461479</v>
      </c>
      <c r="S7" s="93">
        <f t="shared" si="2"/>
        <v>502061.15532784554</v>
      </c>
      <c r="T7" s="93">
        <f t="shared" si="2"/>
        <v>527164.21309423784</v>
      </c>
      <c r="U7" s="93">
        <f t="shared" si="2"/>
        <v>553522.42374894978</v>
      </c>
      <c r="V7" s="93">
        <f t="shared" si="2"/>
        <v>581198.54493639735</v>
      </c>
    </row>
    <row r="8" spans="1:23" x14ac:dyDescent="0.35">
      <c r="A8" s="98" t="s">
        <v>154</v>
      </c>
      <c r="B8" s="93">
        <f>+B7*30%</f>
        <v>0</v>
      </c>
      <c r="C8" s="101">
        <f t="shared" ref="C8:V8" si="3">+C7*30%</f>
        <v>13800</v>
      </c>
      <c r="D8" s="101">
        <f t="shared" si="3"/>
        <v>43470</v>
      </c>
      <c r="E8" s="101">
        <f t="shared" si="3"/>
        <v>53250.75</v>
      </c>
      <c r="F8" s="101">
        <f t="shared" si="3"/>
        <v>79876.125</v>
      </c>
      <c r="G8" s="101">
        <f t="shared" si="3"/>
        <v>83869.931249999994</v>
      </c>
      <c r="H8" s="101">
        <f t="shared" si="3"/>
        <v>88063.427812499998</v>
      </c>
      <c r="I8" s="101">
        <f t="shared" si="3"/>
        <v>92466.599203125006</v>
      </c>
      <c r="J8" s="101">
        <f t="shared" si="3"/>
        <v>97089.929163281253</v>
      </c>
      <c r="K8" s="101">
        <f t="shared" si="3"/>
        <v>101944.42562144533</v>
      </c>
      <c r="L8" s="101">
        <f t="shared" si="3"/>
        <v>107041.6469025176</v>
      </c>
      <c r="M8" s="101">
        <f t="shared" si="3"/>
        <v>112393.7292476435</v>
      </c>
      <c r="N8" s="101">
        <f t="shared" si="3"/>
        <v>118013.41571002567</v>
      </c>
      <c r="O8" s="101">
        <f t="shared" si="3"/>
        <v>123914.08649552696</v>
      </c>
      <c r="P8" s="101">
        <f t="shared" si="3"/>
        <v>130109.79082030331</v>
      </c>
      <c r="Q8" s="101">
        <f t="shared" si="3"/>
        <v>136615.2803613185</v>
      </c>
      <c r="R8" s="101">
        <f t="shared" si="3"/>
        <v>143446.04437938443</v>
      </c>
      <c r="S8" s="101">
        <f t="shared" si="3"/>
        <v>150618.34659835364</v>
      </c>
      <c r="T8" s="101">
        <f t="shared" si="3"/>
        <v>158149.26392827134</v>
      </c>
      <c r="U8" s="101">
        <f t="shared" si="3"/>
        <v>166056.72712468493</v>
      </c>
      <c r="V8" s="101">
        <f t="shared" si="3"/>
        <v>174359.5634809192</v>
      </c>
    </row>
    <row r="9" spans="1:23" x14ac:dyDescent="0.35">
      <c r="A9" s="99" t="s">
        <v>155</v>
      </c>
      <c r="B9" s="103">
        <f>B18</f>
        <v>-2200000</v>
      </c>
      <c r="C9" s="93">
        <f t="shared" ref="C9:V9" si="4">+C7*70%</f>
        <v>32199.999999999996</v>
      </c>
      <c r="D9" s="93">
        <f t="shared" si="4"/>
        <v>101430</v>
      </c>
      <c r="E9" s="93">
        <f t="shared" si="4"/>
        <v>124251.74999999999</v>
      </c>
      <c r="F9" s="93">
        <f>+F7*70%</f>
        <v>186377.625</v>
      </c>
      <c r="G9" s="93">
        <f t="shared" si="4"/>
        <v>195696.50624999998</v>
      </c>
      <c r="H9" s="93">
        <f t="shared" si="4"/>
        <v>205481.33156250001</v>
      </c>
      <c r="I9" s="93">
        <f t="shared" si="4"/>
        <v>215755.39814062501</v>
      </c>
      <c r="J9" s="93">
        <f t="shared" si="4"/>
        <v>226543.16804765625</v>
      </c>
      <c r="K9" s="93">
        <f t="shared" si="4"/>
        <v>237870.32645003911</v>
      </c>
      <c r="L9" s="93">
        <f t="shared" si="4"/>
        <v>249763.84277254107</v>
      </c>
      <c r="M9" s="93">
        <f t="shared" si="4"/>
        <v>262252.03491116816</v>
      </c>
      <c r="N9" s="93">
        <f t="shared" si="4"/>
        <v>275364.63665672654</v>
      </c>
      <c r="O9" s="93">
        <f t="shared" si="4"/>
        <v>289132.86848956288</v>
      </c>
      <c r="P9" s="93">
        <f t="shared" si="4"/>
        <v>303589.51191404107</v>
      </c>
      <c r="Q9" s="93">
        <f t="shared" si="4"/>
        <v>318768.98750974314</v>
      </c>
      <c r="R9" s="93">
        <f t="shared" si="4"/>
        <v>334707.43688523036</v>
      </c>
      <c r="S9" s="93">
        <f t="shared" si="4"/>
        <v>351442.80872949184</v>
      </c>
      <c r="T9" s="93">
        <f t="shared" si="4"/>
        <v>369014.94916596648</v>
      </c>
      <c r="U9" s="93">
        <f t="shared" si="4"/>
        <v>387465.69662426482</v>
      </c>
      <c r="V9" s="93">
        <f t="shared" si="4"/>
        <v>406838.98145547812</v>
      </c>
      <c r="W9" s="102">
        <f>+SUM(B9:V9)</f>
        <v>2873947.8605650347</v>
      </c>
    </row>
    <row r="10" spans="1:23" x14ac:dyDescent="0.35">
      <c r="G10" s="7"/>
      <c r="W10" s="7">
        <f>+SUM(C9:V9)</f>
        <v>5073947.8605650347</v>
      </c>
    </row>
    <row r="14" spans="1:23" x14ac:dyDescent="0.35">
      <c r="A14" s="95" t="s">
        <v>151</v>
      </c>
      <c r="B14" s="94">
        <v>1</v>
      </c>
    </row>
    <row r="15" spans="1:23" x14ac:dyDescent="0.35">
      <c r="A15" s="95" t="s">
        <v>153</v>
      </c>
      <c r="B15" s="100">
        <v>0</v>
      </c>
    </row>
    <row r="16" spans="1:23" ht="15.5" x14ac:dyDescent="0.35">
      <c r="A16" s="115" t="s">
        <v>156</v>
      </c>
      <c r="B16" s="116"/>
      <c r="C16" s="116"/>
      <c r="D16" s="116"/>
      <c r="E16" s="116"/>
      <c r="F16" s="116"/>
      <c r="G16" s="116"/>
      <c r="H16" s="116"/>
    </row>
    <row r="17" spans="1:22" x14ac:dyDescent="0.35">
      <c r="A17" s="59"/>
      <c r="B17" s="72">
        <v>0</v>
      </c>
      <c r="C17" s="61">
        <v>1</v>
      </c>
      <c r="D17" s="61">
        <v>2</v>
      </c>
      <c r="E17" s="61">
        <v>3</v>
      </c>
      <c r="F17" s="61">
        <v>4</v>
      </c>
      <c r="G17" s="61">
        <v>5</v>
      </c>
      <c r="H17" s="61" t="s">
        <v>121</v>
      </c>
    </row>
    <row r="18" spans="1:22" x14ac:dyDescent="0.35">
      <c r="A18" s="51" t="s">
        <v>157</v>
      </c>
      <c r="B18" s="73">
        <f>-($A$3*2200000)*(100%-$B$15)</f>
        <v>-2200000</v>
      </c>
      <c r="C18" s="74">
        <f>+C9</f>
        <v>32199.999999999996</v>
      </c>
      <c r="D18" s="74">
        <f>+D9</f>
        <v>101430</v>
      </c>
      <c r="E18" s="74">
        <f>+E9</f>
        <v>124251.74999999999</v>
      </c>
      <c r="F18" s="74">
        <f>+F9</f>
        <v>186377.625</v>
      </c>
      <c r="G18" s="74">
        <f>+G9</f>
        <v>195696.50624999998</v>
      </c>
      <c r="H18" s="74">
        <f>+(G18*(1+5.1%))/(0.118089-0.051)</f>
        <v>3065733.9961655401</v>
      </c>
      <c r="I18" s="69"/>
    </row>
    <row r="19" spans="1:22" x14ac:dyDescent="0.35">
      <c r="A19" s="62" t="s">
        <v>158</v>
      </c>
      <c r="B19" s="63"/>
      <c r="C19" s="79">
        <f>+C18/-($B$18)</f>
        <v>1.4636363636363635E-2</v>
      </c>
      <c r="D19" s="79">
        <f t="shared" ref="D19:H19" si="5">+D18/-($B$18)</f>
        <v>4.6104545454545454E-2</v>
      </c>
      <c r="E19" s="79">
        <f t="shared" si="5"/>
        <v>5.6478068181818178E-2</v>
      </c>
      <c r="F19" s="79">
        <f t="shared" si="5"/>
        <v>8.4717102272727274E-2</v>
      </c>
      <c r="G19" s="79">
        <f t="shared" si="5"/>
        <v>8.8952957386363621E-2</v>
      </c>
      <c r="H19" s="79">
        <f t="shared" si="5"/>
        <v>1.3935154528025182</v>
      </c>
    </row>
    <row r="20" spans="1:22" x14ac:dyDescent="0.35">
      <c r="A20" s="51" t="s">
        <v>124</v>
      </c>
      <c r="B20" s="96">
        <f>+IRR(B18:H18)</f>
        <v>9.869997941130082E-2</v>
      </c>
      <c r="C20" s="60"/>
      <c r="D20" s="60"/>
      <c r="E20" s="60"/>
      <c r="F20" s="60"/>
      <c r="G20" s="60"/>
      <c r="H20" s="60"/>
    </row>
    <row r="21" spans="1:22" x14ac:dyDescent="0.35">
      <c r="A21" s="29" t="s">
        <v>7</v>
      </c>
      <c r="B21" s="44">
        <f>NPV(0.1,B18:H18)</f>
        <v>-12919.246441396164</v>
      </c>
    </row>
    <row r="22" spans="1:22" x14ac:dyDescent="0.35">
      <c r="A22" s="29"/>
      <c r="B22" s="44"/>
      <c r="C22" s="97"/>
    </row>
    <row r="23" spans="1:22" x14ac:dyDescent="0.35">
      <c r="B23" s="69"/>
    </row>
    <row r="24" spans="1:22" x14ac:dyDescent="0.35">
      <c r="B24" s="69"/>
    </row>
    <row r="25" spans="1:22" x14ac:dyDescent="0.35">
      <c r="A25" s="117" t="s">
        <v>162</v>
      </c>
      <c r="B25" s="117"/>
      <c r="C25" s="117"/>
      <c r="D25" s="117"/>
      <c r="E25" s="117"/>
      <c r="F25" s="117"/>
      <c r="G25" s="117"/>
      <c r="H25" s="117"/>
      <c r="I25" s="117"/>
      <c r="J25" s="117"/>
    </row>
    <row r="26" spans="1:22" x14ac:dyDescent="0.35">
      <c r="A26" s="11" t="s">
        <v>151</v>
      </c>
      <c r="B26" s="13"/>
      <c r="C26" s="2"/>
      <c r="D26" s="2"/>
      <c r="E26" s="2"/>
      <c r="F26" s="2"/>
      <c r="G26" s="2"/>
      <c r="H26" s="2"/>
      <c r="I26" s="2"/>
    </row>
    <row r="27" spans="1:22" x14ac:dyDescent="0.35">
      <c r="A27" s="94">
        <v>1</v>
      </c>
      <c r="B27" s="32" t="s">
        <v>134</v>
      </c>
      <c r="C27" s="32" t="s">
        <v>135</v>
      </c>
      <c r="D27" s="32" t="s">
        <v>3</v>
      </c>
      <c r="E27" s="32" t="s">
        <v>4</v>
      </c>
      <c r="F27" s="32" t="s">
        <v>5</v>
      </c>
      <c r="G27" s="32" t="s">
        <v>6</v>
      </c>
      <c r="H27" s="32" t="s">
        <v>136</v>
      </c>
      <c r="I27" s="32" t="s">
        <v>137</v>
      </c>
      <c r="J27" s="32" t="s">
        <v>138</v>
      </c>
      <c r="K27" s="32" t="s">
        <v>139</v>
      </c>
      <c r="L27" s="32" t="s">
        <v>140</v>
      </c>
      <c r="M27" s="32" t="s">
        <v>141</v>
      </c>
      <c r="N27" s="32" t="s">
        <v>142</v>
      </c>
      <c r="O27" s="32" t="s">
        <v>143</v>
      </c>
      <c r="P27" s="32" t="s">
        <v>144</v>
      </c>
      <c r="Q27" s="32" t="s">
        <v>145</v>
      </c>
      <c r="R27" s="32" t="s">
        <v>146</v>
      </c>
      <c r="S27" s="32" t="s">
        <v>147</v>
      </c>
      <c r="T27" s="32" t="s">
        <v>148</v>
      </c>
      <c r="U27" s="32" t="s">
        <v>149</v>
      </c>
      <c r="V27" s="32" t="s">
        <v>150</v>
      </c>
    </row>
    <row r="28" spans="1:22" x14ac:dyDescent="0.35">
      <c r="A28" s="98" t="s">
        <v>159</v>
      </c>
      <c r="B28" s="36">
        <v>0</v>
      </c>
      <c r="C28" s="36">
        <v>20</v>
      </c>
      <c r="D28" s="36">
        <v>60</v>
      </c>
      <c r="E28" s="36">
        <v>150</v>
      </c>
      <c r="F28" s="36">
        <v>100</v>
      </c>
      <c r="G28" s="36">
        <v>130</v>
      </c>
      <c r="H28" s="36">
        <v>80</v>
      </c>
      <c r="I28" s="36">
        <v>80</v>
      </c>
      <c r="J28" s="36">
        <v>80</v>
      </c>
      <c r="K28" s="36">
        <v>80</v>
      </c>
      <c r="L28" s="36">
        <v>80</v>
      </c>
      <c r="M28" s="36">
        <v>80</v>
      </c>
      <c r="N28" s="36">
        <v>80</v>
      </c>
      <c r="O28" s="36">
        <v>80</v>
      </c>
      <c r="P28" s="36">
        <v>80</v>
      </c>
      <c r="Q28" s="36">
        <v>80</v>
      </c>
      <c r="R28" s="36">
        <v>80</v>
      </c>
      <c r="S28" s="36">
        <v>80</v>
      </c>
      <c r="T28" s="36">
        <v>80</v>
      </c>
      <c r="U28" s="36">
        <v>80</v>
      </c>
      <c r="V28" s="36">
        <v>80</v>
      </c>
    </row>
    <row r="29" spans="1:22" x14ac:dyDescent="0.35">
      <c r="A29" s="98" t="s">
        <v>133</v>
      </c>
      <c r="B29" s="71">
        <v>0</v>
      </c>
      <c r="C29" s="71">
        <v>2300</v>
      </c>
      <c r="D29" s="71">
        <f>+C29*(1+5%)</f>
        <v>2415</v>
      </c>
      <c r="E29" s="71">
        <f t="shared" ref="E29:V29" si="6">+D29*(1+5%)</f>
        <v>2535.75</v>
      </c>
      <c r="F29" s="71">
        <f t="shared" si="6"/>
        <v>2662.5374999999999</v>
      </c>
      <c r="G29" s="71">
        <f t="shared" si="6"/>
        <v>2795.6643749999998</v>
      </c>
      <c r="H29" s="71">
        <f t="shared" si="6"/>
        <v>2935.4475937500001</v>
      </c>
      <c r="I29" s="71">
        <f t="shared" si="6"/>
        <v>3082.2199734375004</v>
      </c>
      <c r="J29" s="71">
        <f t="shared" si="6"/>
        <v>3236.3309721093756</v>
      </c>
      <c r="K29" s="71">
        <f t="shared" si="6"/>
        <v>3398.1475207148446</v>
      </c>
      <c r="L29" s="71">
        <f t="shared" si="6"/>
        <v>3568.054896750587</v>
      </c>
      <c r="M29" s="71">
        <f t="shared" si="6"/>
        <v>3746.4576415881165</v>
      </c>
      <c r="N29" s="71">
        <f t="shared" si="6"/>
        <v>3933.7805236675226</v>
      </c>
      <c r="O29" s="71">
        <f t="shared" si="6"/>
        <v>4130.4695498508991</v>
      </c>
      <c r="P29" s="71">
        <f t="shared" si="6"/>
        <v>4336.9930273434438</v>
      </c>
      <c r="Q29" s="71">
        <f t="shared" si="6"/>
        <v>4553.8426787106164</v>
      </c>
      <c r="R29" s="71">
        <f t="shared" si="6"/>
        <v>4781.5348126461477</v>
      </c>
      <c r="S29" s="71">
        <f t="shared" si="6"/>
        <v>5020.6115532784552</v>
      </c>
      <c r="T29" s="71">
        <f t="shared" si="6"/>
        <v>5271.6421309423786</v>
      </c>
      <c r="U29" s="71">
        <f t="shared" si="6"/>
        <v>5535.2242374894977</v>
      </c>
      <c r="V29" s="71">
        <f t="shared" si="6"/>
        <v>5811.9854493639732</v>
      </c>
    </row>
    <row r="30" spans="1:22" x14ac:dyDescent="0.35">
      <c r="A30" s="98" t="s">
        <v>160</v>
      </c>
      <c r="B30" s="36">
        <f>+B28*$A$3</f>
        <v>0</v>
      </c>
      <c r="C30" s="36">
        <f t="shared" ref="C30:V30" si="7">+C28*$A$3</f>
        <v>20</v>
      </c>
      <c r="D30" s="36">
        <f t="shared" si="7"/>
        <v>60</v>
      </c>
      <c r="E30" s="36">
        <v>70</v>
      </c>
      <c r="F30" s="36">
        <f>+F28*$A$3</f>
        <v>100</v>
      </c>
      <c r="G30" s="36">
        <f t="shared" ref="G30:W30" si="8">+G28*$A$3</f>
        <v>130</v>
      </c>
      <c r="H30" s="36">
        <f t="shared" si="8"/>
        <v>80</v>
      </c>
      <c r="I30" s="36">
        <f t="shared" si="8"/>
        <v>80</v>
      </c>
      <c r="J30" s="36">
        <f t="shared" si="8"/>
        <v>80</v>
      </c>
      <c r="K30" s="36">
        <f t="shared" si="8"/>
        <v>80</v>
      </c>
      <c r="L30" s="36">
        <f t="shared" si="8"/>
        <v>80</v>
      </c>
      <c r="M30" s="36">
        <f t="shared" si="8"/>
        <v>80</v>
      </c>
      <c r="N30" s="36">
        <f t="shared" si="8"/>
        <v>80</v>
      </c>
      <c r="O30" s="36">
        <f t="shared" si="8"/>
        <v>80</v>
      </c>
      <c r="P30" s="36">
        <f t="shared" si="8"/>
        <v>80</v>
      </c>
      <c r="Q30" s="36">
        <f t="shared" si="8"/>
        <v>80</v>
      </c>
      <c r="R30" s="36">
        <f t="shared" si="8"/>
        <v>80</v>
      </c>
      <c r="S30" s="36">
        <f t="shared" si="8"/>
        <v>80</v>
      </c>
      <c r="T30" s="36">
        <f t="shared" si="8"/>
        <v>80</v>
      </c>
      <c r="U30" s="36">
        <f t="shared" si="8"/>
        <v>80</v>
      </c>
      <c r="V30" s="36">
        <f t="shared" si="8"/>
        <v>80</v>
      </c>
    </row>
    <row r="31" spans="1:22" x14ac:dyDescent="0.35">
      <c r="A31" s="99" t="s">
        <v>152</v>
      </c>
      <c r="B31" s="93">
        <f>+B30*C29</f>
        <v>0</v>
      </c>
      <c r="C31" s="93">
        <f t="shared" ref="C31:V31" si="9">+C30*C29</f>
        <v>46000</v>
      </c>
      <c r="D31" s="93">
        <f t="shared" si="9"/>
        <v>144900</v>
      </c>
      <c r="E31" s="93">
        <f t="shared" si="9"/>
        <v>177502.5</v>
      </c>
      <c r="F31" s="93">
        <f>+F30*F29</f>
        <v>266253.75</v>
      </c>
      <c r="G31" s="93">
        <f t="shared" ref="G31:W31" si="10">+G30*G29</f>
        <v>363436.36874999997</v>
      </c>
      <c r="H31" s="93">
        <f t="shared" si="10"/>
        <v>234835.8075</v>
      </c>
      <c r="I31" s="93">
        <f t="shared" si="10"/>
        <v>246577.59787500004</v>
      </c>
      <c r="J31" s="93">
        <f t="shared" si="10"/>
        <v>258906.47776875005</v>
      </c>
      <c r="K31" s="93">
        <f t="shared" si="10"/>
        <v>271851.80165718758</v>
      </c>
      <c r="L31" s="93">
        <f t="shared" si="10"/>
        <v>285444.39174004697</v>
      </c>
      <c r="M31" s="93">
        <f t="shared" si="10"/>
        <v>299716.61132704932</v>
      </c>
      <c r="N31" s="93">
        <f t="shared" si="10"/>
        <v>314702.44189340179</v>
      </c>
      <c r="O31" s="93">
        <f t="shared" si="10"/>
        <v>330437.56398807192</v>
      </c>
      <c r="P31" s="93">
        <f t="shared" si="10"/>
        <v>346959.44218747551</v>
      </c>
      <c r="Q31" s="93">
        <f t="shared" si="10"/>
        <v>364307.41429684928</v>
      </c>
      <c r="R31" s="93">
        <f t="shared" si="10"/>
        <v>382522.7850116918</v>
      </c>
      <c r="S31" s="93">
        <f t="shared" si="10"/>
        <v>401648.92426227638</v>
      </c>
      <c r="T31" s="93">
        <f t="shared" si="10"/>
        <v>421731.37047539029</v>
      </c>
      <c r="U31" s="93">
        <f t="shared" si="10"/>
        <v>442817.93899915984</v>
      </c>
      <c r="V31" s="93">
        <f t="shared" si="10"/>
        <v>464958.83594911784</v>
      </c>
    </row>
    <row r="32" spans="1:22" x14ac:dyDescent="0.35">
      <c r="A32" s="98" t="s">
        <v>154</v>
      </c>
      <c r="B32" s="93">
        <f>+B31*30%</f>
        <v>0</v>
      </c>
      <c r="C32" s="101">
        <f t="shared" ref="C32:V32" si="11">+C31*30%</f>
        <v>13800</v>
      </c>
      <c r="D32" s="101">
        <f t="shared" si="11"/>
        <v>43470</v>
      </c>
      <c r="E32" s="101">
        <f t="shared" si="11"/>
        <v>53250.75</v>
      </c>
      <c r="F32" s="101">
        <f t="shared" si="11"/>
        <v>79876.125</v>
      </c>
      <c r="G32" s="101">
        <f t="shared" si="11"/>
        <v>109030.91062499999</v>
      </c>
      <c r="H32" s="101">
        <f t="shared" si="11"/>
        <v>70450.742249999996</v>
      </c>
      <c r="I32" s="101">
        <f t="shared" si="11"/>
        <v>73973.279362500005</v>
      </c>
      <c r="J32" s="101">
        <f t="shared" si="11"/>
        <v>77671.943330625014</v>
      </c>
      <c r="K32" s="101">
        <f t="shared" si="11"/>
        <v>81555.540497156268</v>
      </c>
      <c r="L32" s="101">
        <f t="shared" si="11"/>
        <v>85633.317522014084</v>
      </c>
      <c r="M32" s="101">
        <f t="shared" si="11"/>
        <v>89914.983398114797</v>
      </c>
      <c r="N32" s="101">
        <f t="shared" si="11"/>
        <v>94410.732568020539</v>
      </c>
      <c r="O32" s="101">
        <f t="shared" si="11"/>
        <v>99131.269196421577</v>
      </c>
      <c r="P32" s="101">
        <f t="shared" si="11"/>
        <v>104087.83265624265</v>
      </c>
      <c r="Q32" s="101">
        <f t="shared" si="11"/>
        <v>109292.22428905478</v>
      </c>
      <c r="R32" s="101">
        <f t="shared" si="11"/>
        <v>114756.83550350754</v>
      </c>
      <c r="S32" s="101">
        <f t="shared" si="11"/>
        <v>120494.67727868291</v>
      </c>
      <c r="T32" s="101">
        <f t="shared" si="11"/>
        <v>126519.41114261709</v>
      </c>
      <c r="U32" s="101">
        <f t="shared" si="11"/>
        <v>132845.38169974796</v>
      </c>
      <c r="V32" s="101">
        <f t="shared" si="11"/>
        <v>139487.65078473534</v>
      </c>
    </row>
    <row r="33" spans="1:23" x14ac:dyDescent="0.35">
      <c r="A33" s="99" t="s">
        <v>155</v>
      </c>
      <c r="B33" s="103">
        <f>B42</f>
        <v>-1870000</v>
      </c>
      <c r="C33" s="93">
        <f t="shared" ref="C33:V33" si="12">+C31*70%</f>
        <v>32199.999999999996</v>
      </c>
      <c r="D33" s="93">
        <f t="shared" si="12"/>
        <v>101430</v>
      </c>
      <c r="E33" s="93">
        <f t="shared" si="12"/>
        <v>124251.74999999999</v>
      </c>
      <c r="F33" s="93">
        <f>+F31*70%</f>
        <v>186377.625</v>
      </c>
      <c r="G33" s="93">
        <f t="shared" ref="G33:W33" si="13">+G31*70%</f>
        <v>254405.45812499995</v>
      </c>
      <c r="H33" s="93">
        <f t="shared" si="13"/>
        <v>164385.06524999999</v>
      </c>
      <c r="I33" s="93">
        <f t="shared" si="13"/>
        <v>172604.3185125</v>
      </c>
      <c r="J33" s="93">
        <f t="shared" si="13"/>
        <v>181234.53443812503</v>
      </c>
      <c r="K33" s="93">
        <f t="shared" si="13"/>
        <v>190296.26116003128</v>
      </c>
      <c r="L33" s="93">
        <f t="shared" si="13"/>
        <v>199811.07421803285</v>
      </c>
      <c r="M33" s="93">
        <f t="shared" si="13"/>
        <v>209801.62792893453</v>
      </c>
      <c r="N33" s="93">
        <f t="shared" si="13"/>
        <v>220291.70932538123</v>
      </c>
      <c r="O33" s="93">
        <f t="shared" si="13"/>
        <v>231306.29479165032</v>
      </c>
      <c r="P33" s="93">
        <f t="shared" si="13"/>
        <v>242871.60953123283</v>
      </c>
      <c r="Q33" s="93">
        <f t="shared" si="13"/>
        <v>255015.19000779447</v>
      </c>
      <c r="R33" s="93">
        <f t="shared" si="13"/>
        <v>267765.94950818422</v>
      </c>
      <c r="S33" s="93">
        <f t="shared" si="13"/>
        <v>281154.24698359345</v>
      </c>
      <c r="T33" s="93">
        <f t="shared" si="13"/>
        <v>295211.95933277317</v>
      </c>
      <c r="U33" s="93">
        <f t="shared" si="13"/>
        <v>309972.55729941186</v>
      </c>
      <c r="V33" s="93">
        <f t="shared" si="13"/>
        <v>325471.18516438245</v>
      </c>
      <c r="W33" s="102">
        <f>+SUM(B33:V33)</f>
        <v>2375858.4165770276</v>
      </c>
    </row>
    <row r="34" spans="1:23" x14ac:dyDescent="0.35">
      <c r="G34" s="7"/>
      <c r="W34" s="7">
        <f>+SUM(C33:V33)</f>
        <v>4245858.4165770272</v>
      </c>
    </row>
    <row r="38" spans="1:23" x14ac:dyDescent="0.35">
      <c r="A38" s="95" t="s">
        <v>151</v>
      </c>
      <c r="B38" s="94">
        <v>1</v>
      </c>
    </row>
    <row r="39" spans="1:23" x14ac:dyDescent="0.35">
      <c r="A39" s="95" t="s">
        <v>153</v>
      </c>
      <c r="B39" s="100">
        <v>0.15</v>
      </c>
    </row>
    <row r="40" spans="1:23" ht="15.5" x14ac:dyDescent="0.35">
      <c r="A40" s="115" t="s">
        <v>156</v>
      </c>
      <c r="B40" s="116"/>
      <c r="C40" s="116"/>
      <c r="D40" s="116"/>
      <c r="E40" s="116"/>
      <c r="F40" s="116"/>
      <c r="G40" s="116"/>
      <c r="H40" s="116"/>
    </row>
    <row r="41" spans="1:23" x14ac:dyDescent="0.35">
      <c r="A41" s="59"/>
      <c r="B41" s="72">
        <v>0</v>
      </c>
      <c r="C41" s="61">
        <v>1</v>
      </c>
      <c r="D41" s="61">
        <v>2</v>
      </c>
      <c r="E41" s="61">
        <v>3</v>
      </c>
      <c r="F41" s="61">
        <v>4</v>
      </c>
      <c r="G41" s="61">
        <v>5</v>
      </c>
      <c r="H41" s="61" t="s">
        <v>121</v>
      </c>
    </row>
    <row r="42" spans="1:23" x14ac:dyDescent="0.35">
      <c r="A42" s="51" t="s">
        <v>157</v>
      </c>
      <c r="B42" s="73">
        <f>-($A$3*2200000)*(100%-$B$39)</f>
        <v>-1870000</v>
      </c>
      <c r="C42" s="74">
        <f>+C33</f>
        <v>32199.999999999996</v>
      </c>
      <c r="D42" s="74">
        <f>+D33</f>
        <v>101430</v>
      </c>
      <c r="E42" s="74">
        <f>+E33</f>
        <v>124251.74999999999</v>
      </c>
      <c r="F42" s="74">
        <f>+F33</f>
        <v>186377.625</v>
      </c>
      <c r="G42" s="74">
        <f>+G33</f>
        <v>254405.45812499995</v>
      </c>
      <c r="H42" s="74">
        <f>+(G42*(1+5.1%))/(0.118089-0.051)</f>
        <v>3985454.1950152018</v>
      </c>
      <c r="I42" s="69"/>
    </row>
    <row r="43" spans="1:23" x14ac:dyDescent="0.35">
      <c r="A43" s="62" t="s">
        <v>158</v>
      </c>
      <c r="B43" s="63"/>
      <c r="C43" s="79">
        <f>+C42/-($B$42)</f>
        <v>1.7219251336898393E-2</v>
      </c>
      <c r="D43" s="79">
        <f t="shared" ref="D43:H43" si="14">+D42/-($B$42)</f>
        <v>5.4240641711229949E-2</v>
      </c>
      <c r="E43" s="79">
        <f t="shared" si="14"/>
        <v>6.6444786096256675E-2</v>
      </c>
      <c r="F43" s="79">
        <f t="shared" si="14"/>
        <v>9.9667179144385026E-2</v>
      </c>
      <c r="G43" s="79">
        <f t="shared" si="14"/>
        <v>0.13604569953208553</v>
      </c>
      <c r="H43" s="79">
        <f t="shared" si="14"/>
        <v>2.1312589278156158</v>
      </c>
    </row>
    <row r="44" spans="1:23" x14ac:dyDescent="0.35">
      <c r="A44" s="51" t="s">
        <v>124</v>
      </c>
      <c r="B44" s="96">
        <f>+IRR(B42:H42)</f>
        <v>0.17878119110224788</v>
      </c>
      <c r="C44" s="60"/>
      <c r="D44" s="60"/>
      <c r="E44" s="60"/>
      <c r="F44" s="60"/>
      <c r="G44" s="60"/>
      <c r="H44" s="60"/>
    </row>
    <row r="45" spans="1:23" x14ac:dyDescent="0.35">
      <c r="A45" s="29" t="s">
        <v>7</v>
      </c>
      <c r="B45" s="44">
        <f>NPV(0.1,B42:H42)</f>
        <v>792182.31289328681</v>
      </c>
    </row>
    <row r="48" spans="1:23" x14ac:dyDescent="0.35">
      <c r="A48" s="11" t="s">
        <v>151</v>
      </c>
      <c r="B48" s="13"/>
      <c r="C48" s="2"/>
      <c r="D48" s="2"/>
      <c r="E48" s="2"/>
      <c r="F48" s="2"/>
      <c r="G48" s="2"/>
      <c r="H48" s="2"/>
      <c r="I48" s="2"/>
    </row>
    <row r="49" spans="1:23" x14ac:dyDescent="0.35">
      <c r="A49" s="94">
        <v>1</v>
      </c>
      <c r="B49" s="32" t="s">
        <v>134</v>
      </c>
      <c r="C49" s="32" t="s">
        <v>135</v>
      </c>
      <c r="D49" s="32" t="s">
        <v>3</v>
      </c>
      <c r="E49" s="32" t="s">
        <v>4</v>
      </c>
      <c r="F49" s="32" t="s">
        <v>5</v>
      </c>
      <c r="G49" s="32" t="s">
        <v>6</v>
      </c>
      <c r="H49" s="32" t="s">
        <v>136</v>
      </c>
      <c r="I49" s="32" t="s">
        <v>137</v>
      </c>
      <c r="J49" s="32" t="s">
        <v>138</v>
      </c>
      <c r="K49" s="32" t="s">
        <v>139</v>
      </c>
      <c r="L49" s="32" t="s">
        <v>140</v>
      </c>
      <c r="M49" s="32" t="s">
        <v>141</v>
      </c>
      <c r="N49" s="32" t="s">
        <v>142</v>
      </c>
      <c r="O49" s="32" t="s">
        <v>143</v>
      </c>
      <c r="P49" s="32" t="s">
        <v>144</v>
      </c>
      <c r="Q49" s="32" t="s">
        <v>145</v>
      </c>
      <c r="R49" s="32" t="s">
        <v>146</v>
      </c>
      <c r="S49" s="32" t="s">
        <v>147</v>
      </c>
      <c r="T49" s="32" t="s">
        <v>148</v>
      </c>
      <c r="U49" s="32" t="s">
        <v>149</v>
      </c>
      <c r="V49" s="32" t="s">
        <v>150</v>
      </c>
    </row>
    <row r="50" spans="1:23" x14ac:dyDescent="0.35">
      <c r="A50" s="98" t="s">
        <v>159</v>
      </c>
      <c r="B50" s="36">
        <v>0</v>
      </c>
      <c r="C50" s="36">
        <v>20</v>
      </c>
      <c r="D50" s="36">
        <v>60</v>
      </c>
      <c r="E50" s="36">
        <v>150</v>
      </c>
      <c r="F50" s="36">
        <v>100</v>
      </c>
      <c r="G50" s="36">
        <v>130</v>
      </c>
      <c r="H50" s="36">
        <v>80</v>
      </c>
      <c r="I50" s="36">
        <v>80</v>
      </c>
      <c r="J50" s="36">
        <v>80</v>
      </c>
      <c r="K50" s="36">
        <v>80</v>
      </c>
      <c r="L50" s="36">
        <v>80</v>
      </c>
      <c r="M50" s="36">
        <v>80</v>
      </c>
      <c r="N50" s="36">
        <v>80</v>
      </c>
      <c r="O50" s="36">
        <v>80</v>
      </c>
      <c r="P50" s="36">
        <v>80</v>
      </c>
      <c r="Q50" s="36">
        <v>80</v>
      </c>
      <c r="R50" s="36">
        <v>80</v>
      </c>
      <c r="S50" s="36">
        <v>80</v>
      </c>
      <c r="T50" s="36">
        <v>80</v>
      </c>
      <c r="U50" s="36">
        <v>80</v>
      </c>
      <c r="V50" s="36">
        <v>80</v>
      </c>
    </row>
    <row r="51" spans="1:23" x14ac:dyDescent="0.35">
      <c r="A51" s="98" t="s">
        <v>133</v>
      </c>
      <c r="B51" s="71">
        <v>0</v>
      </c>
      <c r="C51" s="71">
        <v>2300</v>
      </c>
      <c r="D51" s="71">
        <f>+C51*(1+5%)</f>
        <v>2415</v>
      </c>
      <c r="E51" s="71">
        <f t="shared" ref="E51:V51" si="15">+D51*(1+5%)</f>
        <v>2535.75</v>
      </c>
      <c r="F51" s="71">
        <f t="shared" si="15"/>
        <v>2662.5374999999999</v>
      </c>
      <c r="G51" s="71">
        <f t="shared" si="15"/>
        <v>2795.6643749999998</v>
      </c>
      <c r="H51" s="71">
        <f t="shared" si="15"/>
        <v>2935.4475937500001</v>
      </c>
      <c r="I51" s="71">
        <f t="shared" si="15"/>
        <v>3082.2199734375004</v>
      </c>
      <c r="J51" s="71">
        <f t="shared" si="15"/>
        <v>3236.3309721093756</v>
      </c>
      <c r="K51" s="71">
        <f t="shared" si="15"/>
        <v>3398.1475207148446</v>
      </c>
      <c r="L51" s="71">
        <f t="shared" si="15"/>
        <v>3568.054896750587</v>
      </c>
      <c r="M51" s="71">
        <f t="shared" si="15"/>
        <v>3746.4576415881165</v>
      </c>
      <c r="N51" s="71">
        <f t="shared" si="15"/>
        <v>3933.7805236675226</v>
      </c>
      <c r="O51" s="71">
        <f t="shared" si="15"/>
        <v>4130.4695498508991</v>
      </c>
      <c r="P51" s="71">
        <f t="shared" si="15"/>
        <v>4336.9930273434438</v>
      </c>
      <c r="Q51" s="71">
        <f t="shared" si="15"/>
        <v>4553.8426787106164</v>
      </c>
      <c r="R51" s="71">
        <f t="shared" si="15"/>
        <v>4781.5348126461477</v>
      </c>
      <c r="S51" s="71">
        <f t="shared" si="15"/>
        <v>5020.6115532784552</v>
      </c>
      <c r="T51" s="71">
        <f t="shared" si="15"/>
        <v>5271.6421309423786</v>
      </c>
      <c r="U51" s="71">
        <f t="shared" si="15"/>
        <v>5535.2242374894977</v>
      </c>
      <c r="V51" s="71">
        <f t="shared" si="15"/>
        <v>5811.9854493639732</v>
      </c>
    </row>
    <row r="52" spans="1:23" x14ac:dyDescent="0.35">
      <c r="A52" s="98" t="s">
        <v>160</v>
      </c>
      <c r="B52" s="36">
        <f>+B50*$A$3</f>
        <v>0</v>
      </c>
      <c r="C52" s="36">
        <f t="shared" ref="C52:V52" si="16">+C50*$A$3</f>
        <v>20</v>
      </c>
      <c r="D52" s="36">
        <f t="shared" si="16"/>
        <v>60</v>
      </c>
      <c r="E52" s="36">
        <v>70</v>
      </c>
      <c r="F52" s="36">
        <f>+F50*$A$3</f>
        <v>100</v>
      </c>
      <c r="G52" s="36">
        <f t="shared" ref="G52:W52" si="17">+G50*$A$3</f>
        <v>130</v>
      </c>
      <c r="H52" s="36">
        <f t="shared" si="17"/>
        <v>80</v>
      </c>
      <c r="I52" s="36">
        <f t="shared" si="17"/>
        <v>80</v>
      </c>
      <c r="J52" s="36">
        <f t="shared" si="17"/>
        <v>80</v>
      </c>
      <c r="K52" s="36">
        <f t="shared" si="17"/>
        <v>80</v>
      </c>
      <c r="L52" s="36">
        <f t="shared" si="17"/>
        <v>80</v>
      </c>
      <c r="M52" s="36">
        <f t="shared" si="17"/>
        <v>80</v>
      </c>
      <c r="N52" s="36">
        <f t="shared" si="17"/>
        <v>80</v>
      </c>
      <c r="O52" s="36">
        <f t="shared" si="17"/>
        <v>80</v>
      </c>
      <c r="P52" s="36">
        <f t="shared" si="17"/>
        <v>80</v>
      </c>
      <c r="Q52" s="36">
        <f t="shared" si="17"/>
        <v>80</v>
      </c>
      <c r="R52" s="36">
        <f t="shared" si="17"/>
        <v>80</v>
      </c>
      <c r="S52" s="36">
        <f t="shared" si="17"/>
        <v>80</v>
      </c>
      <c r="T52" s="36">
        <f t="shared" si="17"/>
        <v>80</v>
      </c>
      <c r="U52" s="36">
        <f t="shared" si="17"/>
        <v>80</v>
      </c>
      <c r="V52" s="36">
        <f t="shared" si="17"/>
        <v>80</v>
      </c>
    </row>
    <row r="53" spans="1:23" x14ac:dyDescent="0.35">
      <c r="A53" s="99" t="s">
        <v>152</v>
      </c>
      <c r="B53" s="93">
        <f>+B52*C51</f>
        <v>0</v>
      </c>
      <c r="C53" s="93">
        <f t="shared" ref="C53:V53" si="18">+C52*C51</f>
        <v>46000</v>
      </c>
      <c r="D53" s="93">
        <f t="shared" si="18"/>
        <v>144900</v>
      </c>
      <c r="E53" s="93">
        <f t="shared" si="18"/>
        <v>177502.5</v>
      </c>
      <c r="F53" s="93">
        <f>+F52*F51</f>
        <v>266253.75</v>
      </c>
      <c r="G53" s="93">
        <f t="shared" ref="G53:W53" si="19">+G52*G51</f>
        <v>363436.36874999997</v>
      </c>
      <c r="H53" s="93">
        <f t="shared" si="19"/>
        <v>234835.8075</v>
      </c>
      <c r="I53" s="93">
        <f t="shared" si="19"/>
        <v>246577.59787500004</v>
      </c>
      <c r="J53" s="93">
        <f t="shared" si="19"/>
        <v>258906.47776875005</v>
      </c>
      <c r="K53" s="93">
        <f t="shared" si="19"/>
        <v>271851.80165718758</v>
      </c>
      <c r="L53" s="93">
        <f t="shared" si="19"/>
        <v>285444.39174004697</v>
      </c>
      <c r="M53" s="93">
        <f t="shared" si="19"/>
        <v>299716.61132704932</v>
      </c>
      <c r="N53" s="93">
        <f t="shared" si="19"/>
        <v>314702.44189340179</v>
      </c>
      <c r="O53" s="93">
        <f t="shared" si="19"/>
        <v>330437.56398807192</v>
      </c>
      <c r="P53" s="93">
        <f t="shared" si="19"/>
        <v>346959.44218747551</v>
      </c>
      <c r="Q53" s="93">
        <f t="shared" si="19"/>
        <v>364307.41429684928</v>
      </c>
      <c r="R53" s="93">
        <f t="shared" si="19"/>
        <v>382522.7850116918</v>
      </c>
      <c r="S53" s="93">
        <f t="shared" si="19"/>
        <v>401648.92426227638</v>
      </c>
      <c r="T53" s="93">
        <f t="shared" si="19"/>
        <v>421731.37047539029</v>
      </c>
      <c r="U53" s="93">
        <f t="shared" si="19"/>
        <v>442817.93899915984</v>
      </c>
      <c r="V53" s="93">
        <f t="shared" si="19"/>
        <v>464958.83594911784</v>
      </c>
    </row>
    <row r="54" spans="1:23" x14ac:dyDescent="0.35">
      <c r="A54" s="98" t="s">
        <v>154</v>
      </c>
      <c r="B54" s="93">
        <f>+B53*30%</f>
        <v>0</v>
      </c>
      <c r="C54" s="101">
        <f t="shared" ref="C54:V54" si="20">+C53*30%</f>
        <v>13800</v>
      </c>
      <c r="D54" s="101">
        <f t="shared" si="20"/>
        <v>43470</v>
      </c>
      <c r="E54" s="101">
        <f t="shared" si="20"/>
        <v>53250.75</v>
      </c>
      <c r="F54" s="101">
        <f t="shared" si="20"/>
        <v>79876.125</v>
      </c>
      <c r="G54" s="101">
        <f t="shared" si="20"/>
        <v>109030.91062499999</v>
      </c>
      <c r="H54" s="101">
        <f t="shared" si="20"/>
        <v>70450.742249999996</v>
      </c>
      <c r="I54" s="101">
        <f t="shared" si="20"/>
        <v>73973.279362500005</v>
      </c>
      <c r="J54" s="101">
        <f t="shared" si="20"/>
        <v>77671.943330625014</v>
      </c>
      <c r="K54" s="101">
        <f t="shared" si="20"/>
        <v>81555.540497156268</v>
      </c>
      <c r="L54" s="101">
        <f t="shared" si="20"/>
        <v>85633.317522014084</v>
      </c>
      <c r="M54" s="101">
        <f t="shared" si="20"/>
        <v>89914.983398114797</v>
      </c>
      <c r="N54" s="101">
        <f t="shared" si="20"/>
        <v>94410.732568020539</v>
      </c>
      <c r="O54" s="101">
        <f t="shared" si="20"/>
        <v>99131.269196421577</v>
      </c>
      <c r="P54" s="101">
        <f t="shared" si="20"/>
        <v>104087.83265624265</v>
      </c>
      <c r="Q54" s="101">
        <f t="shared" si="20"/>
        <v>109292.22428905478</v>
      </c>
      <c r="R54" s="101">
        <f t="shared" si="20"/>
        <v>114756.83550350754</v>
      </c>
      <c r="S54" s="101">
        <f t="shared" si="20"/>
        <v>120494.67727868291</v>
      </c>
      <c r="T54" s="101">
        <f t="shared" si="20"/>
        <v>126519.41114261709</v>
      </c>
      <c r="U54" s="101">
        <f t="shared" si="20"/>
        <v>132845.38169974796</v>
      </c>
      <c r="V54" s="101">
        <f t="shared" si="20"/>
        <v>139487.65078473534</v>
      </c>
    </row>
    <row r="55" spans="1:23" x14ac:dyDescent="0.35">
      <c r="A55" s="99" t="s">
        <v>155</v>
      </c>
      <c r="B55" s="103">
        <f>B64</f>
        <v>-1870000</v>
      </c>
      <c r="C55" s="93">
        <f t="shared" ref="C55:V55" si="21">+C53*70%</f>
        <v>32199.999999999996</v>
      </c>
      <c r="D55" s="93">
        <f t="shared" si="21"/>
        <v>101430</v>
      </c>
      <c r="E55" s="93">
        <f t="shared" si="21"/>
        <v>124251.74999999999</v>
      </c>
      <c r="F55" s="93">
        <f>+F53*70%</f>
        <v>186377.625</v>
      </c>
      <c r="G55" s="93">
        <f t="shared" ref="G55:W55" si="22">+G53*70%</f>
        <v>254405.45812499995</v>
      </c>
      <c r="H55" s="93">
        <f t="shared" si="22"/>
        <v>164385.06524999999</v>
      </c>
      <c r="I55" s="93">
        <f t="shared" si="22"/>
        <v>172604.3185125</v>
      </c>
      <c r="J55" s="93">
        <f t="shared" si="22"/>
        <v>181234.53443812503</v>
      </c>
      <c r="K55" s="93">
        <f t="shared" si="22"/>
        <v>190296.26116003128</v>
      </c>
      <c r="L55" s="93">
        <f t="shared" si="22"/>
        <v>199811.07421803285</v>
      </c>
      <c r="M55" s="93">
        <f t="shared" si="22"/>
        <v>209801.62792893453</v>
      </c>
      <c r="N55" s="93">
        <f t="shared" si="22"/>
        <v>220291.70932538123</v>
      </c>
      <c r="O55" s="93">
        <f t="shared" si="22"/>
        <v>231306.29479165032</v>
      </c>
      <c r="P55" s="93">
        <f t="shared" si="22"/>
        <v>242871.60953123283</v>
      </c>
      <c r="Q55" s="93">
        <f t="shared" si="22"/>
        <v>255015.19000779447</v>
      </c>
      <c r="R55" s="93">
        <f t="shared" si="22"/>
        <v>267765.94950818422</v>
      </c>
      <c r="S55" s="93">
        <f t="shared" si="22"/>
        <v>281154.24698359345</v>
      </c>
      <c r="T55" s="93">
        <f t="shared" si="22"/>
        <v>295211.95933277317</v>
      </c>
      <c r="U55" s="93">
        <f t="shared" si="22"/>
        <v>309972.55729941186</v>
      </c>
      <c r="V55" s="93">
        <f t="shared" si="22"/>
        <v>325471.18516438245</v>
      </c>
      <c r="W55" s="102">
        <f>+SUM(B55:V55)</f>
        <v>2375858.4165770276</v>
      </c>
    </row>
    <row r="56" spans="1:23" x14ac:dyDescent="0.35">
      <c r="G56" s="7"/>
      <c r="W56" s="7">
        <f>+SUM(C55:V55)</f>
        <v>4245858.4165770272</v>
      </c>
    </row>
    <row r="59" spans="1:23" x14ac:dyDescent="0.35">
      <c r="A59" s="117" t="s">
        <v>163</v>
      </c>
      <c r="B59" s="117"/>
      <c r="C59" s="117"/>
      <c r="D59" s="117"/>
      <c r="E59" s="117"/>
      <c r="F59" s="117"/>
      <c r="G59" s="117"/>
      <c r="H59" s="117"/>
      <c r="I59" s="117"/>
      <c r="J59" s="117"/>
    </row>
    <row r="60" spans="1:23" x14ac:dyDescent="0.35">
      <c r="A60" s="95" t="s">
        <v>151</v>
      </c>
      <c r="B60" s="94">
        <v>1</v>
      </c>
    </row>
    <row r="61" spans="1:23" x14ac:dyDescent="0.35">
      <c r="A61" s="95" t="s">
        <v>153</v>
      </c>
      <c r="B61" s="100">
        <v>0.15</v>
      </c>
    </row>
    <row r="62" spans="1:23" ht="15.5" x14ac:dyDescent="0.35">
      <c r="A62" s="115" t="s">
        <v>156</v>
      </c>
      <c r="B62" s="116"/>
      <c r="C62" s="116"/>
      <c r="D62" s="116"/>
      <c r="E62" s="116"/>
      <c r="F62" s="116"/>
      <c r="G62" s="116"/>
      <c r="H62" s="116"/>
    </row>
    <row r="63" spans="1:23" x14ac:dyDescent="0.35">
      <c r="A63" s="59"/>
      <c r="B63" s="72">
        <v>0</v>
      </c>
      <c r="C63" s="61">
        <v>1</v>
      </c>
      <c r="D63" s="61">
        <v>2</v>
      </c>
      <c r="E63" s="61">
        <v>3</v>
      </c>
      <c r="F63" s="61">
        <v>4</v>
      </c>
      <c r="G63" s="61">
        <v>5</v>
      </c>
      <c r="H63" s="61" t="s">
        <v>121</v>
      </c>
    </row>
    <row r="64" spans="1:23" x14ac:dyDescent="0.35">
      <c r="A64" s="51" t="s">
        <v>157</v>
      </c>
      <c r="B64" s="73">
        <f>-($A$3*2200000)*(100%-$B$39)</f>
        <v>-1870000</v>
      </c>
      <c r="C64" s="74">
        <f>+C55</f>
        <v>32199.999999999996</v>
      </c>
      <c r="D64" s="74">
        <f>+D55</f>
        <v>101430</v>
      </c>
      <c r="E64" s="74">
        <f>+E55</f>
        <v>124251.74999999999</v>
      </c>
      <c r="F64" s="74">
        <f>+F55</f>
        <v>186377.625</v>
      </c>
      <c r="G64" s="74">
        <f>+G55</f>
        <v>254405.45812499995</v>
      </c>
      <c r="H64" s="74">
        <f>+(G64*(1+5.1%))/(0.118089-0.051)</f>
        <v>3985454.1950152018</v>
      </c>
      <c r="I64" s="69"/>
    </row>
    <row r="65" spans="1:8" x14ac:dyDescent="0.35">
      <c r="A65" s="62" t="s">
        <v>158</v>
      </c>
      <c r="B65" s="63"/>
      <c r="C65" s="79">
        <f>+C64/-($B$42)</f>
        <v>1.7219251336898393E-2</v>
      </c>
      <c r="D65" s="79">
        <f t="shared" ref="D65" si="23">+D64/-($B$42)</f>
        <v>5.4240641711229949E-2</v>
      </c>
      <c r="E65" s="79">
        <f t="shared" ref="E65" si="24">+E64/-($B$42)</f>
        <v>6.6444786096256675E-2</v>
      </c>
      <c r="F65" s="79">
        <f t="shared" ref="F65" si="25">+F64/-($B$42)</f>
        <v>9.9667179144385026E-2</v>
      </c>
      <c r="G65" s="79">
        <f t="shared" ref="G65" si="26">+G64/-($B$42)</f>
        <v>0.13604569953208553</v>
      </c>
      <c r="H65" s="79">
        <f t="shared" ref="H65" si="27">+H64/-($B$42)</f>
        <v>2.1312589278156158</v>
      </c>
    </row>
    <row r="66" spans="1:8" x14ac:dyDescent="0.35">
      <c r="A66" s="51" t="s">
        <v>124</v>
      </c>
      <c r="B66" s="96">
        <f>+IRR(B64:H64)</f>
        <v>0.17878119110224788</v>
      </c>
      <c r="C66" s="60"/>
      <c r="D66" s="60"/>
      <c r="E66" s="60"/>
      <c r="F66" s="60"/>
      <c r="G66" s="60"/>
      <c r="H66" s="60"/>
    </row>
    <row r="67" spans="1:8" x14ac:dyDescent="0.35">
      <c r="A67" s="29" t="s">
        <v>7</v>
      </c>
      <c r="B67" s="44">
        <f>NPV(0.1,B64:H64)</f>
        <v>792182.31289328681</v>
      </c>
    </row>
  </sheetData>
  <mergeCells count="6">
    <mergeCell ref="A16:H16"/>
    <mergeCell ref="A40:H40"/>
    <mergeCell ref="A1:J1"/>
    <mergeCell ref="A25:J25"/>
    <mergeCell ref="A62:H62"/>
    <mergeCell ref="A59:J5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5 0 6 8 b b 2 3 - c 5 a d - 4 0 1 1 - 8 8 7 b - 7 9 1 8 3 0 5 5 9 d a 9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 - 7 4 . 9 9 9 9 9 9 9 9 9 9 9 9 9 8 6 < / L o n g i t u d e > < R o t a t i o n > 0 < / R o t a t i o n > < P i v o t A n g l e > - 0 . 0 0 8 3 6 4 3 3 9 3 0 6 3 4 5 8 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A 2 A A A A N g A b T C 1 p 0 A A D F 9 S U R B V H h e 7 X 0 J d 1 v H l e b F D m L h v o q i K F K i V m u 3 I 9 m O F z n p 5 M z k d P f p P p P T S a e n Z 5 I 5 0 z P / b z p x n D i 2 J c u 2 Z O 2 b t V I i R V I U 9 w U g 9 m X u d 6 s K e A B B i p Q o 6 w H Q B 1 5 W v X o P y 6 u q 7 9 3 l V d V z / O e 5 S 3 l 6 g 4 p o 8 P v o k x P 7 K R F b o d H R J 7 R j R x / l c j n Z l 8 / n J Z 9 O p + l Z 1 E d 9 L a o 8 l U y S 1 + e T P J B M J M j n 9 0 s e 7 3 k 0 6 6 G R B R d 9 M p S Q M i D J 7 5 m N 5 G l b m 5 8 i s R R d u n y T P v n w h N 5 b i l Q q S W 6 3 h y L R O F 1 8 1 q Z L 1 4 f D 4 d C 5 t W E 9 B n m z 7 X Q 6 R V w u F 3 m 9 T s o s / U D p V F z 2 v c F q O P 7 4 z R t C V c L f / e Q I r S z P U 0 N D g x A H A k I A I J H b 7 S 5 s G + T z 6 j i n 0 y U d 0 u w H Y d T x O T o 3 7 K L + d i / t b E 1 T J p 2 i v M N N f 7 s y R T 6 f l w 7 t a q W O s F P e Z + 3 g 2 M 7 l s p T N 5 r h T e 2 l x c Z E a A k E 6 P x a m d F Y f t A l Y P 7 s S z H 5 r C g G p c B 7 B o I O W n 1 6 W f W 9 Q i j e E K o P H 7 a L T x / Z R N p O m R C J O H o 9 X t I y H O 7 I h S D b L n T u T I Y e + c p u O t z A / S 8 0 t p V r D q q F K g c 8 q 7 d g x 1 o Q B J k o l 4 P u + G Q 1 R 6 g U I t B 7 M b 6 + E c k I Z U d r K T a n 5 N 6 Q q h 1 O n b 8 D Y t v M E n T 6 6 h 0 2 a p N I 0 D q e k V j K h 0 8 M E Q h m u 1 q b T Y b / X 5 x f t l U w q c y 4 a i Z S Q C e 8 1 S C S S O q e A 9 4 B M s Z U V J m y G E v G 4 f P c D N h E n 5 h J 0 d T K w 5 W Q C 8 L v N u Z X D l C P F b z G S Y X I n k 2 l y N h 6 j U H d l 0 7 R e w R r q c u X a r D M c O 3 C I 2 v x J 9 l F S Q h L V i b K c V 9 c c 0 / F A G I / H I 2 X I w 4 x T W s o p p h 1 M R A P T E b F f t j k P r b Y S j V I w F J L 9 5 r u s x D R 5 a M L b Y 3 F q C R D d W 2 y X s h 8 D 5 v u t s J Y h D 8 G F B R c V r 9 d F y b k r e m 9 9 w / H H b + u b U J 0 D x + l w a 4 L y W W X i g R i x N H e U X L w k u G B g g g 7 o + O V I M x m h u a y Y n J i g n t 5 e I R Y 6 Y D l g E n r Z f z L E L c e t Z x 5 6 t q w I + W O i E q k A U 2 4 l l W h s j 5 s a w w 6 a H 6 9 v Y j l R P f U q 4 e 7 j d L Q 1 R p l U Q r S N y + W W z h H 0 5 s n N H a Q S r O a f F S B M O Z l w H M g H r Q c T D h o H Z T j W Q L 0 H v 6 Y y 3 u p O 6 9 y P C / z O S u d p y s x + n A v O K 5 V K 0 + J S j g I d x 1 f V c z 1 J 3 f p Q / v b j d K J j i b U S a 6 e y T g J B p M 4 K l E E 7 p d j X i c d j 0 p H M + 4 C V l a j O F Q F f o 6 2 9 X S J z g W C w E M A A a V e i E d n P 3 y Y + U 2 R 5 q Y R o B t + N l J L 0 x 4 a p D y t M G Q S / 2 Z A K F 6 V Y L E O + t u P 6 y P q D 4 0 / f X l l 9 G a p x e F u P 0 Q f 9 U S E I f B r T M d D Z T e f B d o x J E g y F Z d s A H c f 4 R O s B Z I F / A U S X l y n U 2 C h 5 f K 7 V 9 L P 6 Z A a R l S R d m G j S W / a B M f e s M G V I z c U C 4 v N 5 K L 1 w V f b V E x x / + q 5 + C O X y + M k Z 3 E 8 / Z T L l W C u Y q y y C C T l N l A y n f s u N W A A 3 U 7 1 e 5 U 8 h U F G u v c q R Z F / M 5 y 8 G J 6 x I p 9 n P 8 p R q H f h u f n 3 8 m W E f p b O r O 6 6 d U E 6 s c l J B c D G B X 5 W P P a B s e r X 2 r l X U l 8 n X s J + 8 B P I U y Q R N A g 2 B 8 L a b 0 3 I y c a 5 A J s C Q C R E 7 K + A n 4 b N U Y K J 4 P M q t w C i H c q D s 8 p i X P r / v t z 2 Z g G L d K J i 6 h B g T E H U B v y r v 3 8 1 W w O s 1 W 3 9 M 1 E V Q w u X 2 k b v p m J h X b 2 + P F x o / k 0 m X m F / W j m G A K F w l w F Q 0 g N a B n 4 S r s o v F + p k u V + k 1 C 9 q w H F e f B m g h X l 3 X t v J 6 A s y 2 2 Q f z m H J p c r B V 4 H Q 1 V G y b W h N u x U r F t S M u t 1 8 a N J l M U d i b K l x B 0 e D W U H V 5 5 w B Q t p b p Z o V V W y 0 u z M u I C U T 1 A E Q O Q S J z D M x K 7 M M N X A R E E v E Y L S W q i 0 x W l N e b 2 T b 1 n E g h W J G h n H + I H O 4 Q 7 6 n c T r U i j k / P X 1 3 d k 2 o I r s a j Y n r g a v n R r h h f Q d T p q v s / R d P M k A y d X b R N W a B g P c C s w 3 u s i C e z 9 M 3 o 6 m F E / S 0 Z G l 1 w 0 4 n e F L U E F c m u T X h p d q V 6 S Q W s 5 1 e Z Q A U U t z P + g 5 T X K q q 7 F Z 8 D d 9 N R u T q C T C D M l w / 8 F G c i 3 b p 1 i 2 Z m 5 0 R z R C I R G h s b o + n p a T n m 6 r X r J e b c 8 3 B l z E P f P A n T 1 4 9 8 d G / K Q 3 M x J z 2 e c 9 O l i Y A + o h Q g E 3 C Z S Z T K q E 5 3 l M l V 7 V h L U y G F q A s W U d a 3 T 8 p r F Y 4 / 1 6 i G 8 r Q c p X h c a S a j f f K 5 D P 1 8 b 5 o 1 g o c O d S v f C F d O h M c D Q Z g j G G 8 X k y A F R n R H I 1 G K s c Y 6 e P C A 7 L P i D p N n Y u n l R j D 8 f E / R P / v y o Z + y q 2 9 D V R 2 e q 6 m w n c + S J 3 1 f y m s N f C n G C d e W + N u P s n / C d r s h E i 6 N j N 5 m o k t j X p q P u c S X M c E D Q y Y A Z u D w w 0 f U 1 N R E A 4 M D h c 8 w i C Y d E o 1 7 W T I B V j O v L V A D b G J Y 6 w o w 2 6 Y d s J X n b p f 2 D H G u c v t V s z g r l F W 1 h L v 2 s 2 Z S d + 6 t Z E A 6 0 J q h p b i T O s N q C B C w O D 8 n q Q E + Z t / + v Q W f q L 2 t l Z 4 + f S r 5 H L / l / O j q 8 X 0 v C v h O 6 l c Q N f l L h 5 K 7 q 9 g Y N 3 V r Y G 0 D a R N + Z b k y M 5 7 B V e 1 X 7 V L F z b Y a 3 k A T R V Y 8 c g / E q p 1 M g 9 6 Z d l N H K E u J N M 5 e 3 b B t b i 2 d v 7 S 8 t K h z v J 9 9 r K 7 u b o p G V 6 T j P 2 L f a K t x d l g R 9 O l y 6 W d n q l x h m T o 3 s L a F 7 H K w l s p y 3 s l m Q w 2 h p g i V 8 + x c R S Y r t r n G x W R b i D l E 2 6 y w j w R g 9 E O E i T Q / N y t j 9 Q y g p W A W 5 n N p u n H 9 B l 2 7 / 0 z v 2 T r g R i 5 M y J W U I j n w w W D l e 1 / V h v L 6 B 4 r t g v N 1 U j x r v y F W L w P H Z x e u r z 7 r K o S v 7 T C t r G R K C A W Y 1 O v K 0 3 s D S b r H W u o p + z 9 B T 4 Z O 7 c Q 0 9 H T J z V j r s K G 5 m R l q b W + X E P u d + S a a q / L Q 9 u u C N V B h D V J w 6 8 i o F U c + Q 0 H n h J R X O 2 r C h 2 p o 7 i 3 4 T d a r o j W f z B B 9 8 9 j H m k C R o q + F 3 8 q N i v t N h k z A 5 N M J m W n 7 6 M E 9 a u v o k D J / Q 8 M r I R O G q b i Z 6 L W O t d r E g R e b f t m c g 5 L 5 9 p I 2 r V a p i U t u I t t W I J N V y t H X n K G W B u W c 3 G V N h T B 1 Z H l Z t g E M R d o 5 u F s 0 V n t n F y 3 M z w n p U l s 4 v m 6 o I 0 M / G 0 p Q d 2 O W 9 n W l 6 e N d S Q m f Q z x 1 Q C 6 g 0 E b Y g K Z i S W Y 2 f i P d z n B 8 9 n 1 1 m 3 x + N v W i 0 b V N P c D k d 7 d n q N G f o y v j K o K H Y X Z v d 0 5 T u L F R / K f W t n Y 2 8 6 Z Z M 3 X K 0 C D M Y Q J w 3 2 p 2 5 e X D 5 C 7 u O 2 H + / s W y c X v N T P K + 5 q x E 9 v w e d D Z E E 2 t v Q G k l 0 w + A 2 Z f L p s n j y F D A M 6 1 L q x O O v 3 x / o 6 o J l W 0 4 K I N e K 0 X 1 A G s e + H h 3 k r 5 6 W A x 9 n + y Z l k G t C J / 3 9 K p 1 9 6 w m 4 N j o Y 5 q g P R R N b o x Q 0 D L H e 1 N M n D w l U y n 6 e k T N g 9 o M T r M G A / m g Q W e j L r r 5 r H j 1 3 t W W o e F X E G 3 8 s b C K V N J e M N e Z V J k U d Q R m K F v F P b K q C e V s P E S J R N l o i D I C l W + X 4 y M m W H R x h t K p N F p Y G t n r 8 V I s F p W h S S D Z 8 E K I n j 5 n X Q f 2 B O g 0 f 5 Y Z t j T 9 b J L G M / 0 0 H y v V R h t F E x P y n R 3 F k e m T / P 2 3 L c S q V l g J B W A b b Q Q N h X U K K Z + h t s C 8 3 l t 9 q N q g h K + x h 1 I p R S S r q W f F 8 8 g E p D K Y h Z u T 6 F 5 H Z y e 1 s 7 k H X w q j J + B P P R 1 / Q q 0 b G M X Q H H C I p s R 3 L i 4 u k L u x 9 4 X J B C w l V D j d i C E T T N Z 3 + p L U 5 Z 2 l b s 9 T G W z r d V f P N b G 8 T Q r b D u 6 K L P m 8 g w L Z 2 K r 2 r h Z 5 8 R Z / z U j l 2 9 e N 6 p U 3 X C U g y o Y F W U C i 7 m 3 b a W Z q i p a Z D D E m F 6 Z h Y H r F 9 h 0 7 K e R Y V B P H 1 s G x 7 S k Z t h S P r V B z c w t 5 X l H N L i e c d H v K y z 5 X m k K 0 J E G O D w e T N M i m I G 4 N V A M q t Q 0 i f r A Q I P O 5 L l 1 a f e B m R 0 + p L v G G t r E 2 K I 3 q v Q i s 4 + d m Z q a o s 7 u H m l p a q b 2 9 Q 9 a S g F 8 F g m D h y 6 P b K 6 8 + B F 8 H U T v 8 M i A W j 9 H 3 N 5 / Q h S c v F l Q A K f Z 3 p e l A N z v p Z Q T B q H R E K k P e H E 3 M Z 6 i x u V m 0 I E a 4 o y + C 1 O Y 9 X e E s t Q d z 5 K 8 W 7 c W / X 5 m D D r 5 o u K i F L 3 S m v a t J H H + 9 e L N K a r y I f P A t m T B Y H i o 3 2 A z B u k J p a k o 9 o B 0 7 B 2 V 7 Y u w J e b w e t u l z r L V 6 p e z x s N q P 6 e 9 / e + D n D p 2 n 4 3 0 p S s a W u Q r z l N H D x G d n Z 2 l h Y Z F i L e 9 S O v d y U U H c n 8 q s E 6 7 H O Y Y 9 7 P 9 l K i 3 z z E 3 L b 8 W 7 M S L E r r D 6 U 7 I u P L c n l s D O s j 9 1 v C d K E 9 H X s 4 T a y 8 D x 1 0 v V R a h g + x A t L r t X R f Y M N k M m A 2 i q 3 S 2 L F A 4 W 5 z D B j 5 q d n a H u 7 m 2 y P T Y 6 w q Z c M 4 W b m m n 0 8 b C s A 9 H e 0 U H P n k 3 S z O w C D Q 3 t p o X 5 e R n 7 9 9 1 4 i 6 0 7 s p 1 g J Z U i U 0 b S g C s p U 2 x G I q 9 g / e l X i K r z o W I J 3 y r f 6 W U B k + n C R C t d H v M U 5 i S B M H n + H o O + f v a l G p t l h a J + 1 l a 9 f T t k i F J 7 R x e t r M R k N A V T m 5 w u 1 m 4 2 J B N 8 R d u D y Q W C Q S J J J 9 2 9 e 1 f v q B 6 w h r p V N d d S b 7 C N V t I d c h P X a u 5 Z s R V E w 0 V z e y h K e 7 q L T 9 a I p p x 0 d d x D H c 5 J 2 r e z V c q e P H l C j x 6 N U F / f d u r p 6 a L 7 9 x 7 Q a H a 3 k H F X T 5 A a E P A I Z t m P w c g M j 4 S + 3 2 B t y P 0 o a V s V Q g + 6 k z T Q l q L 5 K p r Q X F W E c j U e p F h s 7 f t O W 0 G m c i B I g I 9 N 5 4 q m S Q u b i A f b I z Q x M U 6 7 d u 3 S p Q h s T N P o 6 B g d P n y o Z I 0 J X A A g m I 5 / 9 o c 4 Z d w h C o Z b 9 N 7 X h w A T P m Y Z 5 f 6 6 g I u W a U u M m o D J B 0 J l s y k 6 u X 2 F J h L V c y G S G c n V I q m U W Z t A V f 6 r I F A 5 M I 7 P S i Z g g U 3 E G 0 8 y 4 l M Z I M R + 4 f x F O n b s 6 K o F W 6 5 d u 0 6 T k 0 8 p G o 3 Q 3 v 4 m C o T s M Q c I Z L J T F L B Q y 6 b B u Q T T W q x 9 w O 5 S N T 5 U Q / v B N c 0 8 4 M c g l x U z i Q a a z 3 X I A M 9 E M k X n z n 1 L J 0 + 9 Q 3 / 8 z 0 / p 5 s 1 b t L S 0 J O m n n 3 5 G 2 7 b 1 0 M D A I J u F P R T N h r j i u e Z t A j v Q y b S d / N d 1 o + r I Q X e m v N T l q Z 5 o n + P z y 1 V i 8 g U P y j A j m E 6 G V F Y S / d i E s i K 2 s i z f f 7 g / S B 3 B N P 3 5 7 E 0 6 d a C V Q q G g 3 O S 1 A q M e 7 A i f J 0 9 J P Z P 5 d U D M P h n 1 g k e f s o k M k w 9 R v 0 y K 3 u m N 0 n R 2 6 5 Y e e J W o m h u 7 6 X R x i J G d y A Q E g o 0 U D D X J o N X z T x o o 2 H u E A o H A K j L Z O Z T + O s k E l L e h 0 V C Q J x N T h b z d p S p 8 q I b 2 A w U y V Q M 8 H h 9 d m 9 v G v 1 f 5 K Q a j C 1 v n X I e 9 a d r f O E b R J T W Q t I E 1 T L X D e g a S R 9 V x B / A 0 9 l I 4 v b S q X 9 h R q s K H i s W w 7 s P q q J 6 d A W 2 E J 2 m c u T F L F x 4 m 5 U b 0 4 9 m X 0 6 Z t o a x M T D z R l 6 B w 7 C Z d m g h R Q z B M h 3 p S d K w 3 R Z 2 8 v 9 q h a g c j + 7 h 3 i h C N L e J G f n X E z h 1 / u 3 L b 9 j 0 0 7 d 0 v y x 2 D V O W a y s 4 E w 2 / b F X p G 6 e g M j Y y M U C y e I 9 / g L 8 j r r 7 y q 7 F r A w F e I A S K G e C T O b K 6 b 9 n U W y w 3 O P f J R Q q 9 K + z x g p L p Z w f a 1 g + s r y z 6 U G Y K E 0 S r w o e B P 9 e T v U X D H X n 2 g f c G E + s H W h H I H O m g l 1 b K l Q 4 1 + T H y 8 K 0 H J r K M w U g H L N G 9 2 g i D m W b m c 6 v 2 o g y + / / I p O n / 6 Y v n g Y o J P 9 S Q r 7 1 q + D 5 Y S D b k 5 6 Z a p H V z g n A 2 i x L D U m 8 g 2 1 p + V J 8 3 a B T D Q s I Z S 6 J 0 W T Z 2 j P W 4 c p F 3 j 9 9 + / W g + 3 n Q + V c 7 a u 0 U j X h q 2 E / f T f i o 6 T W A s H s B M X G L k r e A N P e 9 3 a m q S 2 I p y j q Q g s M m Y D 5 + T k a G B j g 4 9 S B o / P P J 0 O j P 0 / v D y R p e 3 O 2 M B o d s 4 J P 7 0 7 Q z B Z M 7 d 8 y c B s r U 0 9 B c n p z x b + L F q e f l v Q N O 4 r j i 6 v 2 1 l A Z 3 3 5 K J J J V Z + 5 V Q o g 1 S W f 2 D j U 2 N p K / s Y O e z L t o X 1 d G 5 l p d n f B S a 0 O O + l s z N D o V p Z t T D d Q U C t D 7 g 8 k S R x f 3 t y K R Z f L 5 f N T c 2 s k E 0 T t e A n Y I 5 Z u 2 z E v Y P C v a K Q f t h G F I b O 7 D 9 O t z P 2 K z z 9 4 P G 7 B 9 U A K z a Y F q 1 V B W J N L E J M r T Y i Y s E x A P d C s y n W W f B 8 u U P Z h 1 0 3 T E S c 3 + L P X 4 F u i D M j I B W H O 9 s 7 O L b t y 4 R W 6 L 5 n o Z f M S a q i H 5 W G + 9 H o j C 5 T b W t B K R v O U U I 7 k w d w h 7 3 + T l 9 t K 6 y o Y S a O 0 T I t U C m Y B M z k G L 1 E M P 5 4 P y + J s f 9 L R 2 6 2 N A Y 4 k U X b p 0 m X a 2 S / + q C G j q Q G D 1 s 6 d e F G 4 H m 4 S H e u g T N g N f H z C z b O 1 2 x p 7 Z V B M l 5 r B 6 7 + q + Y h d h k + + O b X u r u 2 k f m z c Y V K r W a i g n V 6 0 Q z Y p Y d J m O 9 y V o e 8 f 6 q y V N T E z Q 7 d t 3 q K W l W Y Y 0 B Q J + a i 1 b p 3 2 j w B r v 2 W y e G h q U 6 f e 6 T E A x 6 V n M n C i T I i i R Y Z M v y + l Q 4 x T 5 e n b r d 9 g P j i + u 2 Z d Q + Y Z 9 8 o y n S s O N a p F M V v x s T 3 F a / V o w v g b S x c U l r p M c t b W 1 8 Q V I T W 8 J h U K y R N p 6 w M U K z 8 N C Z z b L p 0 W T z t e y L q A i l B p 6 Z K Z x I L U S a n 9 H h F x t a t K n H S F r j 9 h V u E / U D Y H K g f N / H v C M K 5 / P L + Z f d 3 e 3 L H t m n s a I e V o Y A f 8 8 l J M J C P l y d G r b L E W W 1 S i M j m C O X G w W Q l u 8 a h T a G y / O S q o K J J 1 a d q / q J 3 Y S W / t Q u Z z S S P V K q s 0 A h B g c 3 E V D Q 3 u o v 7 + f l l h j Y T z h R v D / / v i p z O X K l d X v T / u j s k T 0 k d 4 U n R 5 K U k f i s q x j U S m 0 v z W w t L N k d Y o + o D I 0 H V 3 d T + w k 5 U E k W + E N g V 4 M 0 D g + n 3 o U z 3 p A / S 4 u Y S 2 N I F s D O S a h e j Y W H o t 6 5 c p 1 8 r L 2 M 8 B n u l x O O j m Q l + A F l r H e W i j y a H 1 U 2 N b / B M K z 4 q Y t Y d s b u 9 7 G H m n w e i Q V p s 2 / z A P X Y A r C / I M f Z Q A / 9 O u v z 9 H k 5 K Q Q B o t x n j l z l q a n p u n 9 9 9 + l V v a 9 z p / / n r J M H J i K B w / u p a b G Y m A E N 5 I R v J A 8 y w c 7 o 5 R b G p b t L Q H I o k l k 2 l 1 e e h v l c g T n E / P P S v q K n c S 2 P h T 7 p a o i 6 x B 4 M M H L P B I U h N q 1 e 1 B 8 K Q M E J w 4 e 3 C 8 O / 6 P h x 0 K e U 6 d O 0 p 4 9 e + Q m M Y L W C G K g B / v 9 f r p z 5 5 5 o J Q M Q K h Q K 0 8 r K i m w / e / a M T u 0 t P p v 4 Z Q H y 4 L t V m + t 2 1 y R S / 7 F f b U 3 O Y 0 T F 6 j 5 j B 7 G t D + X 0 N t Y t o a C h X g b Q M A i p h 8 N h X a I Q D I Z o e H i E 3 j p 0 k H 7 5 y 1 8 I c Q w w G q W / v 0 / I C N / r + P H j 9 L c v z s g + t A N k g f 0 y a D p o P j z Y u 7 F x i 5 4 + q D / f k A m J b E t e l 1 v S p R j q p 3 K / e d 1 i W x / K Y q 2 s A u q 1 V r G t K U t H e 1 8 u m o Y O / 8 4 7 x 2 l 0 Z F S X K E A T d X V 2 0 O X L V 3 R J E f C 3 Y A o a B A I N 9 O E H 7 4 l G O n P m a / r 8 r 1 9 Q Z w e W v 8 7 Q E v t d + w + o k d 9 d W z B l B M T R f 6 v I o y B H q J T L M N n U r r C t D 2 U I h Q q U y i 1 B + X Z t I J 9 a p L 0 d x S d u b A Y r K 1 E a H x + j a 1 e v 0 w U 2 5 6 a m Z u j K l W t C L g O Y c G P j 4 7 R 9 + z Z a i U R 0 q U I w G G Q z b k q m y W C 8 4 F X + n M u X r t D D h 8 N 0 6 P B B O v 3 J R 9 T S p D Q e 2 g P L V Q O H t q W l y V 4 G a F 5 F K i W K P q r d C + 0 v q R y t t s v 6 i 1 3 E 8 d W N e / I z 7 Y a c f w 9 3 E i w l p Z Y M A 6 Q i L W k t A T 7 M k P 8 h P Z 2 Y o I N v H W B z b X P P l R p 5 / J g S e P x O T 3 f h v X / 5 7 H N 6 5 y c n 5 L G n i X i c 7 t 9 / Q L 2 9 2 2 h w U C 0 7 X Q 5 D p P b 2 N h o Y 2 C m m n x n V b o A 1 H 7 A k d T l e Z n Q F p m v k 9 F L M s o w Y b u 7 i h r W Y l 8 X 1 J e Q G b z p B + W y K T p 2 s f A 6 v G 4 4 z N + 7 b s n d m f E N s g t Q H o f A Q A C z s D 8 T j M b p 0 6 S r t 2 r V T / B n 4 O U 1 N z 1 9 2 b G x s n D X S V f r w w / e p p U U t x A l t M z 4 x T i 4 m A D 4 H o y i s I y d Q j + W E w S N S g 6 H Q u i F 3 6 9 M d g e n 5 K N 2 Y b d d b m w N + Q 3 F x F r S 1 m g 8 l o 8 1 B r s J I C R A s R e l U Q h 7 M 9 v 6 7 9 h x + Z F s f q p 5 g f f R N Q 0 O A j h 4 9 I g T A K I Y H D 4 a Z K F d o U d 8 j q g R 0 y v v 3 7 t O v f v V f S s i H 9 Q E H B w b l R m 9 X V 9 e q Y U j c l X V O I Y V Q O 3 f c 5 9 2 / 8 l j W H c R a g 5 2 t L x j t M x d I / Z I c C I Z y n Y q U 7 Z P 9 N o V t f S g b 1 1 k B W 3 F z E 8 s 1 N + k H a R u E w y E Z 6 A r B Q w i i 0 R g N D z 9 a k 1 T Q M r v 5 u B v X b 6 z S O O s h q Y c m I S o I z Y j n W z X z d z 6 v w 4 L o a i X c t I T S A Y y o 2 E w w x R B F v k u L y c u + c p F R M 5 Y Z 2 2 X 9 x S 5 i W w 2 1 i X 7 x 2 m A e L P C i w D m + 1 7 9 + E M L r 9 Z C X O / B b b x 2 k 6 0 w Y m H a V s G N H H 6 W 4 g 8 P M 2 y i w B v v C 3 K x o Q 2 h G A y y I I p 1 2 H S w t L f A F p b T 7 p L N 5 O r W T / R u W V t f z H + s p 3 6 E J o q R I m N V l 1 n 0 v W f G v E E 6 1 v o z 9 X l x v N Y / n n S M 0 w A 8 / 3 B H t g 5 D 3 B x / 8 V G 6 o j o 8 r U l k j e O h o s V j 8 u a P L r Y C m a a g w r 8 r r 9 V E k E q G l h b V J 0 d b W Q U 7 2 8 a z o a c z J w + A g g 2 0 J e m 9 n k j v Y O i c p f D I k s U o Z s d j H U m l x n 7 W v 2 O l l W w 0 F b M Z 8 q U Z g m M p a i / X j / s / Z s + c k I o e o G w D f B p o K N 1 X v s c / 0 1 7 9 8 T h c v X q J b t 2 7 R 8 r J a v R a B j M 0 A j + G p B E z T x 9 M c Z 2 e w y O T m E Q 4 3 y c M I j m 9 P 0 0 B r Z k 2 L g y m i y G I R / s d / I E 4 Z s f S 2 M N G m c J y 9 9 c C W v y 7 t 3 k 1 x v f R y r U f 5 f j Y U L 1 w 8 Y L Y 9 u P + A t c 0 K 7 d u / n 8 I Y D l S G p a V l J o 5 T T D X U D 3 y g m z d v y 4 3 X v f u 2 d q k t a M H N k h S / q Z K m n J + d p d b 2 d h q e d d O j O a e 0 q 5 p Q i O i e D p m z m C i f m h e F c L m K 8 C H a h y g f 5 V L 0 8 c e H 9 K f a C 7 b 3 o d D R y j V V L W m u l c g C z c w t S B 7 E O P v V W e r u 7 q K 3 3 3 6 7 I p m A p q b G w u R B R P L u 3 r 1 P e / c O U R t 3 1 q 0 E b h Z v l k z A c m R Z 5 4 p I M z F a 2 l T A Y 7 A t T Y d 7 2 N c T r V P U R o p g x e 2 C q W f 2 6 X K n j E C 1 J 5 h Q + H E 2 l G y k p o h T C T 5 3 n g 6 3 P K N s W g U m o t E V O n b 8 q N w v 2 s i 5 4 8 q + u L A o g Y s r l 6 / K l I 2 t h F k g Z z M A A V r 1 f T A r 3 C 6 l s R Q x 8 t Q W w A I 1 R T N O E U l v W + b B C a k M s X T q l v C q p a / Y S G w 7 2 r z G u S Q 4 s i 1 F o X C I n k 5 M S v D h z p 0 7 G 5 o U C C J N T U 3 R F 1 9 8 R S s w D d n M O 3 n q J 2 I C b h U Q E I E f t R m A L O k 1 o o z m A o H U k O X k 9 i V q 8 m X 5 q q 4 J Y 5 W y M H m R e J j m H 6 7 c Z + w g X 9 9 + a E + H x O G h S H o b Z b j z o A O Z i j W w 5 q s V b c E s H d P 3 b n C P C e c J 7 b Q e c N 4 X L 1 2 i / h 0 7 q J 1 N v B c x y T a C u d k Z N i H V e L 2 N Y m Z 6 S t 6 z 1 o 1 h / H b 4 S u h 6 O F c I S H h / y k E j c 7 h Q w H + C H 2 W G H i k / C m F 8 r C e R Y U 0 O e e s g H s H 6 Y g v S v G r Y N 8 q X t / f 6 a 1 u B W N L J n U z l 8 T T E 5 5 E J i M f j M p Q I I x 9 e F Z n Q 8 V v b N u + P t c i q S 2 t f 6 L A H Z i S m 2 m N s 4 e L i P C 0 v L V F 3 M M b f y R r I m H a i j Y o a C Y K x f u a Y r k 7 7 L s d s X x 8 K g j + L 7 V d r P l U 8 4 5 A n S x h S P Q / o Y J h i g Q c F v E q s r G z e f 8 U N Z R A 8 k y m d z o H I X j S i Q v o 4 0 T i b q C C F y + 1 W o f V Q S N 5 n T D w V m F C p k Q K p R N h E l A s J f p / 9 x L 4 a C t A 9 r d a I Z M X 9 G T d 9 8 W B j v k 8 0 G p U R 4 Q c O v N r l i B O x u M 5 t H B g 1 g X a y j p 5 A 6 B u R v a A e n g R S Y e Q 7 S A Z f a 3 F h Q Y Y / P Z 5 O C p m K 2 k m Z 9 y r P J E K q S c X / 5 L P s C v s G J V j Y z W W p f V L h D B / P P 9 9 8 Q 6 A A U z P i 8 R V a W l 6 S + z W v A h i S t G m Y 5 u F 2 i m K U B f u E 1 s 8 x J H G 7 v d T U 0 i L E C o X D k k 7 H A m q / k E Y / m F y L y R v t B I J Z + 4 j d x N Z P 3 z C 3 G y q R q d Y I N j z r K V m S u R I Q A b z z A 6 a 2 N 1 F T Y 1 P J 0 B 9 c 8 c 0 i K u s B x 4 C I C / N z u m Q 1 Y I a B v B t F I s F + n Q 6 L w 3 w D U c K N S i s B h k y L / J 0 g R X R 5 W W 5 g g y T w p R J p F a w Q 8 u S Z N J L X 2 4 W 8 K n e 5 u I 5 Q T T Y V W / t Q I f d T u S L V C 2 5 N r j 8 O D 2 H x n m 0 9 N D M z o 0 u K w J Q K j M F b j 1 T o o F n 2 c U B E B B A i r O X m Z q d l g O z Y 6 C O W x y K 4 W c w V L 8 d v B H 5 / 6 f A l k E e 1 o f K t Q L j x + T z N Z 9 W N 3 Y Z g k F a Y V M C 1 y a B o I E U 6 a C H + X u S l r K i h h F i 8 f f L U W / y u 1 X 3 F L m J v H w r Q j V r L J p / B X M z F W k p v r A F E 9 2 7 f + o H G x y e k E 8 K v + v r r b / R e N b B V i K P N Q Q w D m m P C Y E w e w t k N l v t c Y d Z y L a 3 t 7 O e 0 U 1 / / I M u A C A C C o s 7 x H f g 8 s + S z m r a B G b Q q v L 1 Y Y Q A t y v F d i l h 5 G l k K y T O q + p r V G v X 4 P A e b H 4 u L E Y r J g A l N G h B J 5 0 E q I Z M m l e R Z m p q 2 b q W l V w F b + 1 A Q N A j X q g g a 2 E q s W i T Z w 9 n 1 t R S G H b 3 3 / r u c y 9 O 5 c 9 / S 9 e s 3 Z b S E F e j M 6 P i Y 8 n 7 2 7 D c 0 P T 3 L H X T z 1 0 5 T 3 / g 8 + E M w 5 z D c C V F G R O m w 3 V T 2 p H s g H o t J s A E k x v u 6 w y l q 8 C g T z g h G u V + Z b i k p E 9 O O y W j M O + u 2 K c N T 1 q 3 9 w 2 5 i a x 9 K x F y 1 O F s P m F h y c + f X G 2 s A J t n 2 7 d v p 1 K m f 0 L v v n m Q T z i n T L T D i H F F A j K I 4 x 1 q r q 6 u T P v n k I x m t v t Y o C s z S f V F A o 1 S 6 q G E K P S Y r t r Z 1 0 M I K + 2 Q e Q x i l d a B 9 b j 9 D q F x p o I K Y b T k W K Y i k i I Z 8 g 9 9 T u Y / Y S G x v 8 o U b I l L B 9 Q Q 8 z X A j w H w m d O i 3 3 z 5 B y 0 v L d P n y V T E B M X f q k 5 + d Z m 2 m 1 s 2 D J s H o 9 U r A 9 A 1 0 W q w k u 1 k Y s 7 I S x L R j C f t A B h D F 4 i N l c z S 9 D H N S k 0 h I Y x E 5 z k o m l Q 7 t 6 d O f b l / Y O i g B 8 b p S X M F c q S w G 1 q t i p S t k t W M h 5 q R n k Y 2 N g s D 5 Q x P 1 b u + V 6 f K I B G L U h b V e s E o R 1 q Y w q 7 6 W A y Y d R l 9 s F u t V f Q l B W L D E M w T 5 M w / V E z 9 K p U i g g p m H l M V M 6 d g 5 s J 0 / W f U L u 4 r 9 g x I M h 8 U c q B f c f s a d b p N 2 L q Z 9 Y B k w a A M r m p u b 6 P j x o 7 L v u + 8 u y K x f d F 4 r N j P T 1 w B + 0 t z M j I T Y M S Q K D 9 S G p j M k M W 1 W y L M M z z p F A x V M O 9 O 2 I l q b I c U Q J S E Z y r L c V V / N P b e t B n w 8 u d L Y W R r Y b M A V C p X N L a F / e m 0 D p z k y v 7 l O j o 7 d 3 d X F d c a V V g Y s Z P n T n 7 5 H 7 7 x z Q k y 1 L 7 8 8 w w S Y F x 9 q Z v p Z S f R v o w g E Q 9 T W 0 a G m 0 r P p 2 N z c Q s l k o k C o S v J k g U 0 9 y W u y Q A v p v A g 0 E q d Z v Z y Y m X T Y 3 t a 4 q l / Y U a p C Q z U F V r i D q Q q v D z o p P J r b H K E w z m 9 b b 4 / e q g x o o t 7 e X j p 9 + i O 5 R / T o 8 c g L L T Y D c l g h P h O X t b S 0 6 d B 6 R s i K v J V Q 8 J + Q K l K x a A 1 m F d l n 1 V B M r A 8 + f k d / k 7 1 h e x / K i A N O L S q X p V x L 1 a I f Z b C Z Z b x B k H J z b y 3 A b 8 J T D / f u 3 U O 3 b t 7 W p R u H d S S F I d N K N E o L C / P S H h C n C w N / 8 x S J L J W Q x Z C p Y P Z J u x Y J J J p J U j W d g w i y u k / Y U a p C Q w H d b T A l d C W j A T b Y c a o d 5 x 7 5 W Y O g s d Z H M p m i k Z E n E p D Y D B A V b A h U X q h l L e D Z U 4 g k A i A G b v J i C B F u + O K J H I o 8 i h R o p 4 a G o L z n E f w n X S 7 H w L z T 5 D G B B 2 P i W d P 3 3 j 8 m 3 1 U N q A o f C u J 2 M Y F M Q 7 D w J U 2 f g k K t a i m Y Y 2 e G f R R J r n 9 + 5 0 d c l H f 4 N 1 0 P 8 K 3 Q q d H h Y T I i u L A e x p + M C p l A F K W Z O O V y 3 O j F q H L T P o V 7 T l r w u 0 b n H R Y T T 7 U l L A 6 V m j I t Q i 6 V 7 9 0 O v 3 B 1 n 7 C j V I 2 G A n x e N J K q Z K W h 6 k N L I d p 3 Y d R H l 8 a 9 l M x w q 1 X A s b 4 c 3 X 0 8 S d N z p U / V 2 A j 6 + 3 e w q b Y g 2 g p m 4 1 p Y i U Z o + 4 5 + C 5 m U 2 Y Y U 9 7 k U U a y i j s E c K U y T M u a e V b C / E J j Q / p V o L g Q l W M J B p Q m r B V X j Q 0 G 6 2 2 B r W 8 0 B 5 U 8 p c v E R u E T U M B Z j T v r 6 k Y + + f O h f R S x n L k m 7 B 3 q p s y 2 s S z Y G + F J Y + x z + F K J + p i 6 l f t H Z d f 1 i k i C i e m Y b + z D 7 V m b g m j x S L e b C B + 0 H 0 n 3 z 2 K 3 K D H m w T 0 i D V J l 8 I j J m E N P f e R / n f / m r j / j X l P Y D O 0 t V a S i A j Y Z C g y h R j V 5 P g B k I Y l k f I T M y M k o n D r 3 c I 1 7 w e N B H j x 7 T / N w s Y T o G y G a A A A N g y A T B g F n M w I V W w 9 A m a Q u 9 D w J i w Y Q U s 9 C U i 0 b j d g O x Q E Z J T V u C V N h W F 0 1 E d j H K o 5 p Q d Y T i i z C b C F z Z l o a Q a J E m V a 1 r q X J 8 + 9 g r w Y j F x S U Z D P s y A I H i s Y S M P i 8 H 7 j P h J i 7 W D s T C O S A H 6 h p j 9 v C + c j I Z w S i N b x 5 B O 2 H b t J n Z r 9 q v U C 7 7 i q T 6 9 W / + q / 7 2 6 k H V B C W s w l 5 F 0 U Q A u b h x R O p M U w G x t J N c w U 5 5 k j t G n a / n A 5 U D n R r B C A y s x a p L y 8 s R 2 r N 3 S I w X w N S n 0 U o y 0 9 b t p k Q s x t + D p 8 y j H Z S P p P L K x A M x s I 1 J j P N s p g o B j Q h 5 l A a C W N t R p o T A 5 M t g T k e a P B 5 3 x f a 3 s 1 S V D 2 V k q N / N B L I 0 j L 7 K K V K p K 2 c 9 I U 5 h O e d j x 4 / Q X 6 9 M 0 3 R 0 f c M D B D l / / o K Y i S A T t q F l P v 3 T n 2 V 6 C L b L x W i V h f l Z r Z V c M h c K Z V H L f S Y I T D 2 Y g 5 h 4 e H t S a a + C J h K x b A v R i u Q y + Z / / 4 q f 8 S 1 e 3 v d 2 l 6 k w + A w c V G 8 G s 3 6 Y a R D V Y P Q E r 0 A J 4 k n t P W 5 B u P P X S z D q k + v 7 7 i 3 T s 2 F E a H B y Q t f 2 w o C U E j x O F B i o n k m g d n Y b C z S r P g q n u I I X L j c G u R k t h s U t M b 8 / T x T G M Z N e k K Z D H G o C w p J L H W v Z p w i z 3 r u 7 N r Q l o F 1 Q t o f Y M w A k 2 V z R L o 3 F D Q 1 P x d V g d W A f w 4 h 4 d A y P N e x t T 9 L O h B H W E K l 9 U Q I q W l u b C j V k r s A o t U K 6 V j K j o 3 e o y P E Y U Z h 9 M P L Q B c G H U Q y k u U 8 c V 2 8 e Y h I X 2 M u Q S Y q X F P / 6 X 3 / 2 D f E Y 1 w v 4 T D N c R n w f 3 e r k h C s R i E V J B 6 k d L j S + p S B i 0 z M M H w 5 x T B M O 9 J U z Z w D A h + F a Y g D g 9 N S 1 j + c o B A g U D r N 1 u 3 K T h h 8 M S f C j e n F X r A W I h m I z U N 5 d B G + k U i 7 r g / b f m W u j 8 Y z d 9 P e y m Z F q 1 g Z V M V g G x D J G k D Z l M S H 1 e F z l t v h D L e u L E h O J q f e 3 e G W B G c Y O I y a f u X Z Q 0 E g t 8 q l r H 3 g 6 M d V P A 3 C i Q 5 9 K l y x J y R v 7 O n b t 0 8 f t L s j / O Z i H K i l p I k Q b 5 U + + e p A M H 9 l N n d x d N T D y V j o + g B V K M K I e f h e O W s W w 0 i C G k y N J y 0 i U j N b B q U y J t I Z G 0 g y E P S y H o g L b R K W / L e h U s e S 7 7 l 9 / 9 o 6 W F q + 9 V t S a f w Y 7 e g G 6 0 I p F M I 6 p G N c G K o l 9 Q a 2 j w F M + p s a m R n j x 5 I v 4 R N F Z L S 4 t M P N y 3 f 5 9 s D w z 0 0 + P H o z Q 7 O 6 u J p O p G a X S 1 K I u b i Y h p 9 X N z c 0 K i E l O P N Z L H y z 6 T 1 l B f D 3 v o + r i L E i l N J B G T x / G 6 D O 2 i i a b a q d h m Q j I m 0 0 9 O V c + Y v b V Q 9 Y R q D C O 0 q h t M G s j k T U N y w 3 E q f l U N k o n 7 O 3 m 0 D w V 0 d n b S 8 l J E y G O A e 0 h t b c V H z B w 9 e p i 1 V J o u X b w s T / 0 o n 2 I B Y j W G G 3 n f X V X G 5 C n u h 4 / k l B u 2 Z x 9 6 p L 7 N e D w 5 T u q / W P f K z 1 X b 0 j b a P C 9 q K 5 h 6 C E T k a f / B 3 f L 7 q h m O C w / H a q K X X b s 5 z + 2 M K y u b J n y F V X f 6 e V u L g 3 s e r r Z I H Q 4 I j N 7 q R 2 s g R 8 e 3 q 3 t P 8 J n u 3 r l H R 5 g w 1 s f i G K 1 s T Y 3 A r 4 L f N D C w U y J + X D F y 8 T G P G M X n m H X y F K H y B c 1 U I B I L 8 u b C Z S 5 i h l z Q P k j V U m S K S H g a o U q T n C b p D / / x G / l t 1 Y 6 q 9 q G s r / 1 D T d x o u P p x 4 4 m N b h F c F c 0 V E q I 7 g n W E R b X C + u s x r + n d 9 0 6 t I h P E k M E Q w A h G m 5 8 8 e Z L G x i a E O M a U u 3 z p q m g w 0 V 5 c h u A G o n m o z 6 t j L n 6 v q k O V 6 r z R U N i W t k C 9 I 0 X d 6 2 3 T N l p D o b 3 + / h / / z t K S 1 f 2 q e p P P w O 9 3 k 8 f J n Q F X w Y K Y h j O N x 6 l p W B H V + M b H 4 n 9 K q i j k 3 t + i A h L 4 / U a r l J L I C L Z V x w d h r C M b E N V D M A L 1 A M 0 y O z P D W u 4 Q N T W r m 7 w 4 B g t f + v w N 8 r 7 l u C K O E A N 1 a K l X V c Z i I Y 4 J O i D N Z P S z n u S Z u U n y 8 e d 2 d m 3 t o 0 x f J 2 q G U M D h t z q 5 U 6 A h N Z m Q F h r a X C W t m g q m C n c O 0 V Q s 8 t K c q h J S N T W o K C Y 6 f n E 0 u N o u F X X R E H L J u a v z x 3 A j B D F G R 0 f p 2 r X r 9 P 2 F i 5 T m u s N Q p P 3 7 D 3 B d 5 W Q p Z W g q k K 0 Q f N D 1 J 2 m h P l U q 9 c v 5 Y p 2 j / l n 0 R U 4 R D M O L s v S 7 / / F P 8 v t r B Y 7 v h 8 e r 5 3 K 8 Q X x / 6 S k 5 x I d i k Y h V 0 Z 9 S v p T F p 2 K f Q X y q Q l 5 t A 3 b 1 s 0 A M A L d r T g 8 l e J t 9 y G t X a e / e v T L q W x F I j h Q z D h u K T K X k K p Y p b Y X 7 V V j b 7 / j x Y 3 L u K B f S i N + U p Y W Y g 2 4 9 V Q t U G k K q V G l 5 c 8 F S Z D I X L 0 M k + E u K S N B O u N X x v / 7 v b 2 1 b x y 8 K J t R E z R E q n c 7 S 5 W u T T B J F J g Q o J C / b S F V g Q h G L 7 V 4 J U o B U m k w F Y r H w C 3 / 6 H 3 Y V 8 j 8 2 Q I B i m q d t j R n a 3 5 W h 2 7 d v S 1 A B Y + d k D / Z r w l h F g g s Q 7 v y F M k 2 o e D w h 8 6 E 6 u 6 D l F Y l k q g X 8 I k 4 n F h 0 y h V 3 t U 0 R S J D J R v q J m U k S C d c A p N B v M P G g m C U Q o + f V v / 4 G a W z b 3 D N 9 q g O 3 X N n 8 R 8 X p c 1 L c t x A 2 r r o y Q g p 0 v D V y 8 e k q K z q A 7 h H Q K q 0 g H 0 R 1 I r t i m Q x r R n V Q L / + N f Y G S L Y D 6 b P 9 O k K N v X C Z 8 k Q w s L S + T z q f l I 5 n e L j y Q d v i j F c y r u w 3 n B 9 8 I g 2 Y 6 O D s t 7 9 e d w O j b P Z J p x 6 H 1 4 v / k O 5 L k + e V v V m 6 p j p Z U g I F W x D c R / Y t l / Y I h a m E y V 2 q 7 q 5 W I N a i i D y 1 e f s M 2 P k d Q w / Z S W M h P n l M Z C q j W V a C S 1 X d B O W l B V k m I b 1 S Z / K J d d G r q k s G 0 F C k 0 1 V z p g j S Y A b y w Z p p M l z d M H g 0 l K x J Z l e g T u G 8 k e T T 6 r p D N E i 3 E i v y d H f j d f B L R W w r 7 5 h Q X W H B k Z x 4 c L B 5 7 u g X q B V s p m 8 3 T n m Z P m V / B 1 I J 8 S p a U U s U A k C Z k X C G U h l h D K a C b O p 5 M U C g X o X / / 9 n + W s a h G O i 4 9 q l 1 D A h Q u P Z U i M M f + U y a f E k M o Q S w g l J M I 2 U p 0 H C S S v B D A E k 7 w q 0 H m V F m D d N D W N M k u t c / f W O Q u k S O 8 B M X S q k j w 1 M D l O 9 S f p y p V r d O j Q Q T k f O R 7 H V p C l u I N C s s 4 4 t h W Z Y A L e u n m L N Q Y i f E w 8 9 n H u 3 L 0 r U + L 9 P h + d H 3 E z W a 0 k M n k m E I s y + V j L g 1 x M J M n r V G k l E A u + k 9 J M w Y C f / u 3 3 / 0 3 O o V b B h H p a o T V r C + c v D F O K r 9 J C J N F Q m l R M r o K m 0 t p J / C n t S x U I J C m 2 w Q X 4 W P h T 5 Y U 8 g O N U T u 3 T K O Z K U V L x 3 L k N r O R R J C l N k W l p y N G u p n k Z s Y C n x x f J g 9 0 6 j 5 c Q y I g m k i 5 D J A + j z t 0 e z C 9 D O Q j C / i e T N N v 2 N t c Z y h R x l D 9 l z F 6 V V x p K k U j y Y k o r 7 W R C 5 U Y z B Q I N 9 N / / 8 G u c Q E 2 j p s L m a + H U y V 3 k d q L B i 4 2 c E d u + a J a o j q F S d K p i q q 6 + R q y + h b k y S 8 p S X F Z Y d z g W 4 7 C b q 3 t R L P v k f e X l K m 9 N i + U 5 m o 9 h v b s G u n f v A f 9 G 5 Q / B L 1 L H a u H P F f / G i B x n 8 l k a G R m R A b R y n B a M t o i F D 6 v R 4 l I n 6 n j 1 G 8 1 x p p 5 4 v 2 g h F l 2 X 1 n t N I p w P s G a q B z I B j k t 1 o K E M z n 1 z T / w J a C U H d 6 S S 6 J / W U i X m X 5 m m E o G + 0 X n o H q X B J K e + R M q l q J D f E F h j S C L / G Y V t q B y d s 6 R D H W n q a c z I T d m B w Q E 5 H u V F b c S C l 0 V D y f 0 2 v Y 3 p G b P z i 9 T V y d o N 2 o n 3 r S S I r k 1 g F I Q y 8 Y p + E 0 h e J L Y h l y K i J h b y h Y u T M v N A y C B r p n + v E z I B j k u P 6 4 d Q w L d M q n g K j 6 Q E i a w + F Q h U J J Y y / 5 g m s g 3 i W M L p w i C V B 4 r k k i 3 z p / I G l u w q F F p A Z e S / / q c S X W 5 J P x x M y N 5 r V 6 / R k S N H p E x e S E E a a x 4 p i 5 V Q y N 8 e j b C G e 0 i N 3 X v J 6 1 f P u l X H M I F w T D m Z h E g m D + I o Q h l N p q J 4 i l A 5 z m O A 7 u / + Z + 0 G I C q B C T W p W q m O M D I y R Q 8 f T r H B a w h l j f z B r 4 K m A k E M u U x e k U g I h B Q v S 1 6 R R n K F v I E i X S W g g + t s A d Y y z s g f / s l / 2 t 6 U o Y H W N I 2 O P p H J g v h 9 I I D s L 5 P i v S e k I I z K g z i z E S f d n y 5 7 v A x L k V i a P A U S I a + 2 x V 9 C y B y p k E t F 8 x S 5 0 n T i 7 S N 0 8 v 0 T 6 h T q C H V J K O D J 6 D T d v f + U O z q T y G r 6 I V D B 5 C k x / U A Y i 6 Z S K Q i i U s m C P M h L V q d S J h k N U 1 6 E q n x L E 0 i W O 7 1 s M E A A n Q J e V 4 7 e 2 Z E U k l y 7 e p 0 O H z k k 5 d i W Y y U B Q Z C H l l G p 5 I U k x X Q q 4 q D h G U w a V M e D L L J f k 0 Y I a C G R k E W n x s y D z 6 S 2 2 d x L p / n U 8 / S b f / s n a m 5 R T 0 + s N z g u 1 y m h g E w m R 5 / / 7 R p r K q O Z N K k k r 0 k l G k q n I I o h F l 5 g E v J 6 W / 2 p V G + o 7 X J Y i y r U v l C o U K 5 I o t I 8 H e 9 N U Y M 3 R 3 O z c / L I T / x G H G 9 I s 0 q s h B K S Y L B r j q 5 O Y J p 6 s U z I g z w I I 8 R S a Z F M n A q h T G A C R N J + k / h O a Z m Y + P v / / R t 5 B n C 9 w n F 5 p H 4 J Z f D Z Z 5 e J + 5 g m F L Q V y K S J p U l U I J c Q q G x 4 E o t Q B 6 k h k Z B G c p z I / 4 0 D H V x n C 3 l O Q a r 3 d r J 2 4 h c e T u 3 1 e N X C / X g J K c p E k 2 m K T T u Q a H L Z w f 4 j P k o T R 4 7 R m g g p y C N a C W U W I q F c S I S 8 0 k y F A A S n G J C M i O M f / s 9 v 8 U v r G k y o Z 3 V P K O D i h T s 0 P b v M f V 9 p K i F X B f P P 3 K c C S Q o E E w J h G 4 J P w z 9 L X l K T 6 I 2 K 4 A 6 u E v O P O 7 Y 1 r w i F 0 e D L T C h M b y 8 h U J m A M E + X 8 N Q L t R a E I g / 2 K U L J M U w W l W p C g U Q 6 x b a Q S J P K a C U x 8 b R W w t n 0 9 f X S 3 / / z L + U 3 1 j v e E M o C d K w / / f E 8 d 1 8 m g y G V a C m l s Q q m X 8 U g B W / z Z 6 g 8 l 2 E L B S o n Z R s H O r 3 O F v J 5 6 m 9 O U 0 9 T l s b H x m V x f z H 3 e K e 8 k G o Z m 3 d R k z 9 D 8 T S e g q j D 4 N g H s u i 0 o K V 0 3 h B J l R k S c b 5 g 5 o F E y L N I J C 9 D f r + P f v 8 f / 0 o u V 1 3 c z t w Q 3 h C q A s a e T N P V q / e 5 d h S p j A m o i A V C a W I J m Y r E 4 n 8 q B Y k M m V R G 7 V M 5 C 1 C y u v o V f 0 w 5 S K L S 5 k C O n L y R n r l B + / b t k + O s R D J y a 9 J N K 0 l L m Z A G e U 0 i S d V 2 k U S a S E I i p Z E U s R R 5 j J m H b R D o / Q 9 P 0 u G j B / D D 3 q A A o v 8 P q U V 6 q N B K B k A A A A A A S U V O R K 5 C Y I I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 G u i d = " 2 5 f 3 b e 7 2 - d 5 b 8 - 4 9 8 f - 9 8 1 a - 6 1 b 1 0 3 7 c e 6 2 1 "   R e v = " 1 "   R e v G u i d = " c 6 3 b 8 6 d 9 - 2 4 2 b - 4 0 a 4 - b 2 c 1 - 5 9 4 c 5 0 2 5 0 e 5 4 " 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T o u r   1 "   I d = " { 4 3 B C 8 1 F C - A 0 A 4 - 4 E 1 4 - A F 8 8 - 1 9 4 4 1 A C E C 7 3 8 } "   T o u r I d = " e 0 8 5 2 5 9 4 - 1 f 5 a - 4 6 6 c - b 2 7 4 - 5 6 0 d c c d 6 3 c 0 7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A 2 A A A A N g A b T C 1 p 0 A A D F 9 S U R B V H h e 7 X 0 J d 1 v H l e b F D m L h v o q i K F K i V m u 3 I 9 m O F z n p 5 M z k d P f p P p P T S a e n Z 5 I 5 0 z P / b z p x n D i 2 J c u 2 Z O 2 b t V I i R V I U 9 w U g 9 m X u d 6 s K e A B B i p Q o 6 w H Q B 1 5 W v X o P y 6 u q 7 9 3 l V d V z / O e 5 S 3 l 6 g 4 p o 8 P v o k x P 7 K R F b o d H R J 7 R j R x / l c j n Z l 8 / n J Z 9 O p + l Z 1 E d 9 L a o 8 l U y S 1 + e T P J B M J M j n 9 0 s e 7 3 k 0 6 6 G R B R d 9 M p S Q M i D J 7 5 m N 5 G l b m 5 8 i s R R d u n y T P v n w h N 5 b i l Q q S W 6 3 h y L R O F 1 8 1 q Z L 1 4 f D 4 d C 5 t W E 9 B n m z 7 X Q 6 R V w u F 3 m 9 T s o s / U D p V F z 2 v c F q O P 7 4 z R t C V c L f / e Q I r S z P U 0 N D g x A H A k I A I J H b 7 S 5 s G + T z 6 j i n 0 y U d 0 u w H Y d T x O T o 3 7 K L + d i / t b E 1 T J p 2 i v M N N f 7 s y R T 6 f l w 7 t a q W O s F P e Z + 3 g 2 M 7 l s p T N 5 r h T e 2 l x c Z E a A k E 6 P x a m d F Y f t A l Y P 7 s S z H 5 r C g G p c B 7 B o I O W n 1 6 W f W 9 Q i j e E K o P H 7 a L T x / Z R N p O m R C J O H o 9 X t I y H O 7 I h S D b L n T u T I Y e + c p u O t z A / S 8 0 t p V r D q q F K g c 8 q 7 d g x 1 o Q B J k o l 4 P u + G Q 1 R 6 g U I t B 7 M b 6 + E c k I Z U d r K T a n 5 N 6 Q q h 1 O n b 8 D Y t v M E n T 6 6 h 0 2 a p N I 0 D q e k V j K h 0 8 M E Q h m u 1 q b T Y b / X 5 x f t l U w q c y 4 a i Z S Q C e 8 1 S C S S O q e A 9 4 B M s Z U V J m y G E v G 4 f P c D N h E n 5 h J 0 d T K w 5 W Q C 8 L v N u Z X D l C P F b z G S Y X I n k 2 l y N h 6 j U H d l 0 7 R e w R r q c u X a r D M c O 3 C I 2 v x J 9 l F S Q h L V i b K c V 9 c c 0 / F A G I / H I 2 X I w 4 x T W s o p p h 1 M R A P T E b F f t j k P r b Y S j V I w F J L 9 5 r u s x D R 5 a M L b Y 3 F q C R D d W 2 y X s h 8 D 5 v u t s J Y h D 8 G F B R c V r 9 d F y b k r e m 9 9 w / H H b + u b U J 0 D x + l w a 4 L y W W X i g R i x N H e U X L w k u G B g g g 7 o + O V I M x m h u a y Y n J i g n t 5 e I R Y 6 Y D l g E n r Z f z L E L c e t Z x 5 6 t q w I + W O i E q k A U 2 4 l l W h s j 5 s a w w 6 a H 6 9 v Y j l R P f U q 4 e 7 j d L Q 1 R p l U Q r S N y + W W z h H 0 5 s n N H a Q S r O a f F S B M O Z l w H M g H r Q c T D h o H Z T j W Q L 0 H v 6 Y y 3 u p O 6 9 y P C / z O S u d p y s x + n A v O K 5 V K 0 + J S j g I d x 1 f V c z 1 J 3 f p Q / v b j d K J j i b U S a 6 e y T g J B p M 4 K l E E 7 p d j X i c d j 0 p H M + 4 C V l a j O F Q F f o 6 2 9 X S J z g W C w E M A A a V e i E d n P 3 y Y + U 2 R 5 q Y R o B t + N l J L 0 x 4 a p D y t M G Q S / 2 Z A K F 6 V Y L E O + t u P 6 y P q D 4 0 / f X l l 9 G a p x e F u P 0 Q f 9 U S E I f B r T M d D Z T e f B d o x J E g y F Z d s A H c f 4 R O s B Z I F / A U S X l y n U 2 C h 5 f K 7 V 9 L P 6 Z A a R l S R d m G j S W / a B M f e s M G V I z c U C 4 v N 5 K L 1 w V f b V E x x / + q 5 + C O X y + M k Z 3 E 8 / Z T L l W C u Y q y y C C T l N l A y n f s u N W A A 3 U 7 1 e 5 U 8 h U F G u v c q R Z F / M 5 y 8 G J 6 x I p 9 n P 8 p R q H f h u f n 3 8 m W E f p b O r O 6 6 d U E 6 s c l J B c D G B X 5 W P P a B s e r X 2 r l X U l 8 n X s J + 8 B P I U y Q R N A g 2 B 8 L a b 0 3 I y c a 5 A J s C Q C R E 7 K + A n 4 b N U Y K J 4 P M q t w C i H c q D s 8 p i X P r / v t z 2 Z g G L d K J i 6 h B g T E H U B v y r v 3 8 1 W w O s 1 W 3 9 M 1 E V Q w u X 2 k b v p m J h X b 2 + P F x o / k 0 m X m F / W j m G A K F w l w F Q 0 g N a B n 4 S r s o v F + p k u V + k 1 C 9 q w H F e f B m g h X l 3 X t v J 6 A s y 2 2 Q f z m H J p c r B V 4 H Q 1 V G y b W h N u x U r F t S M u t 1 8 a N J l M U d i b K l x B 0 e D W U H V 5 5 w B Q t p b p Z o V V W y 0 u z M u I C U T 1 A E Q O Q S J z D M x K 7 M M N X A R E E v E Y L S W q i 0 x W l N e b 2 T b 1 n E g h W J G h n H + I H O 4 Q 7 6 n c T r U i j k / P X 1 3 d k 2 o I r s a j Y n r g a v n R r h h f Q d T p q v s / R d P M k A y d X b R N W a B g P c C s w 3 u s i C e z 9 M 3 o 6 m F E / S 0 Z G l 1 w 0 4 n e F L U E F c m u T X h p d q V 6 S Q W s 5 1 e Z Q A U U t z P + g 5 T X K q q 7 F Z 8 D d 9 N R u T q C T C D M l w / 8 F G c i 3 b p 1 i 2 Z m 5 0 R z R C I R G h s b o + n p a T n m 6 r X r J e b c 8 3 B l z E P f P A n T 1 4 9 8 d G / K Q 3 M x J z 2 e c 9 O l i Y A + o h Q g E 3 C Z S Z T K q E 5 3 l M l V 7 V h L U y G F q A s W U d a 3 T 8 p r F Y 4 / 1 6 i G 8 r Q c p X h c a S a j f f K 5 D P 1 8 b 5 o 1 g o c O d S v f C F d O h M c D Q Z g j G G 8 X k y A F R n R H I 1 G K s c Y 6 e P C A 7 L P i D p N n Y u n l R j D 8 f E / R P / v y o Z + y q 2 9 D V R 2 e q 6 m w n c + S J 3 1 f y m s N f C n G C d e W + N u P s n / C d r s h E i 6 N j N 5 m o k t j X p q P u c S X M c E D Q y Y A Z u D w w 0 f U 1 N R E A 4 M D h c 8 w i C Y d E o 1 7 W T I B V j O v L V A D b G J Y 6 w o w 2 6 Y d s J X n b p f 2 D H G u c v t V s z g r l F W 1 h L v 2 s 2 Z S d + 6 t Z E A 6 0 J q h p b i T O s N q C B C w O D 8 n q Q E + Z t / + v Q W f q L 2 t l Z 4 + f S r 5 H L / l / O j q 8 X 0 v C v h O 6 l c Q N f l L h 5 K 7 q 9 g Y N 3 V r Y G 0 D a R N + Z b k y M 5 7 B V e 1 X 7 V L F z b Y a 3 k A T R V Y 8 c g / E q p 1 M g 9 6 Z d l N H K E u J N M 5 e 3 b B t b i 2 d v 7 S 8 t K h z v J 9 9 r K 7 u b o p G V 6 T j P 2 L f a K t x d l g R 9 O l y 6 W d n q l x h m T o 3 s L a F 7 H K w l s p y 3 s l m Q w 2 h p g i V 8 + x c R S Y r t r n G x W R b i D l E 2 6 y w j w R g 9 E O E i T Q / N y t j 9 Q y g p W A W 5 n N p u n H 9 B l 2 7 / 0 z v 2 T r g R i 5 M y J W U I j n w w W D l e 1 / V h v L 6 B 4 r t g v N 1 U j x r v y F W L w P H Z x e u r z 7 r K o S v 7 T C t r G R K C A W Y 1 O v K 0 3 s D S b r H W u o p + z 9 B T 4 Z O 7 c Q 0 9 H T J z V j r s K G 5 m R l q b W + X E P u d + S a a q / L Q 9 u u C N V B h D V J w 6 8 i o F U c + Q 0 H n h J R X O 2 r C h 2 p o 7 i 3 4 T d a r o j W f z B B 9 8 9 j H m k C R o q + F 3 8 q N i v t N h k z A 5 N M J m W n 7 6 M E 9 a u v o k D J / Q 8 M r I R O G q b i Z 6 L W O t d r E g R e b f t m c g 5 L 5 9 p I 2 r V a p i U t u I t t W I J N V y t H X n K G W B u W c 3 G V N h T B 1 Z H l Z t g E M R d o 5 u F s 0 V n t n F y 3 M z w n p U l s 4 v m 6 o I 0 M / G 0 p Q d 2 O W 9 n W l 6 e N d S Q m f Q z x 1 Q C 6 g 0 E b Y g K Z i S W Y 2 f i P d z n B 8 9 n 1 1 m 3 x + N v W i 0 b V N P c D k d 7 d n q N G f o y v j K o K H Y X Z v d 0 5 T u L F R / K f W t n Y 2 8 6 Z Z M 3 X K 0 C D M Y Q J w 3 2 p 2 5 e X D 5 C 7 u O 2 H + / s W y c X v N T P K + 5 q x E 9 v w e d D Z E E 2 t v Q G k l 0 w + A 2 Z f L p s n j y F D A M 6 1 L q x O O v 3 x / o 6 o J l W 0 4 K I N e K 0 X 1 A G s e + H h 3 k r 5 6 W A x 9 n + y Z l k G t C J / 3 9 K p 1 9 6 w m 4 N j o Y 5 q g P R R N b o x Q 0 D L H e 1 N M n D w l U y n 6 e k T N g 9 o M T r M G A / m g Q W e j L r r 5 r H j 1 3 t W W o e F X E G 3 8 s b C K V N J e M N e Z V J k U d Q R m K F v F P b K q C e V s P E S J R N l o i D I C l W + X 4 y M m W H R x h t K p N F p Y G t n r 8 V I s F p W h S S D Z 8 E K I n j 5 n X Q f 2 B O g 0 f 5 Y Z t j T 9 b J L G M / 0 0 H y v V R h t F E x P y n R 3 F k e m T / P 2 3 L c S q V l g J B W A b b Q Q N h X U K K Z + h t s C 8 3 l t 9 q N q g h K + x h 1 I p R S S r q W f F 8 8 g E p D K Y h Z u T 6 F 5 H Z y e 1 s 7 k H X w q j J + B P P R 1 / Q q 0 b G M X Q H H C I p s R 3 L i 4 u k L u x 9 4 X J B C w l V D j d i C E T T N Z 3 + p L U 5 Z 2 l b s 9 T G W z r d V f P N b G 8 T Q r b D u 6 K L P m 8 g w L Z 2 K r 2 r h Z 5 8 R Z / z U j l 2 9 e N 6 p U 3 X C U g y o Y F W U C i 7 m 3 b a W Z q i p a Z D D E m F 6 Z h Y H r F 9 h 0 7 K e R Y V B P H 1 s G x 7 S k Z t h S P r V B z c w t 5 X l H N L i e c d H v K y z 5 X m k K 0 J E G O D w e T N M i m I G 4 N V A M q t Q 0 i f r A Q I P O 5 L l 1 a f e B m R 0 + p L v G G t r E 2 K I 3 q v Q i s 4 + d m Z q a o s 7 u H m l p a q b 2 9 Q 9 a S g F 8 F g m D h y 6 P b K 6 8 + B F 8 H U T v 8 M i A W j 9 H 3 N 5 / Q h S c v F l Q A K f Z 3 p e l A N z v p Z Q T B q H R E K k P e H E 3 M Z 6 i x u V m 0 I E a 4 o y + C 1 O Y 9 X e E s t Q d z 5 K 8 W 7 c W / X 5 m D D r 5 o u K i F L 3 S m v a t J H H + 9 e L N K a r y I f P A t m T B Y H i o 3 2 A z B u k J p a k o 9 o B 0 7 B 2 V 7 Y u w J e b w e t u l z r L V 6 p e z x s N q P 6 e 9 / e + D n D p 2 n 4 3 0 p S s a W u Q r z l N H D x G d n Z 2 l h Y Z F i L e 9 S O v d y U U H c n 8 q s E 6 7 H O Y Y 9 7 P 9 l K i 3 z z E 3 L b 8 W 7 M S L E r r D 6 U 7 I u P L c n l s D O s j 9 1 v C d K E 9 H X s 4 T a y 8 D x 1 0 v V R a h g + x A t L r t X R f Y M N k M m A 2 i q 3 S 2 L F A 4 W 5 z D B j 5 q d n a H u 7 m 2 y P T Y 6 w q Z c M 4 W b m m n 0 8 b C s A 9 H e 0 U H P n k 3 S z O w C D Q 3 t p o X 5 e R n 7 9 9 1 4 i 6 0 7 s p 1 g J Z U i U 0 b S g C s p U 2 x G I q 9 g / e l X i K r z o W I J 3 y r f 6 W U B k + n C R C t d H v M U 5 i S B M H n + H o O + f v a l G p t l h a J + 1 l a 9 f T t k i F J 7 R x e t r M R k N A V T m 5 w u 1 m 4 2 J B N 8 R d u D y Q W C Q S J J J 9 2 9 e 1 f v q B 6 w h r p V N d d S b 7 C N V t I d c h P X a u 5 Z s R V E w 0 V z e y h K e 7 q L T 9 a I p p x 0 d d x D H c 5 J 2 r e z V c q e P H l C j x 6 N U F / f d u r p 6 a L 7 9 x 7 Q a H a 3 k H F X T 5 A a E P A I Z t m P w c g M j 4 S + 3 2 B t y P 0 o a V s V Q g + 6 k z T Q l q L 5 K p r Q X F W E c j U e p F h s 7 f t O W 0 G m c i B I g I 9 N 5 4 q m S Q u b i A f b I z Q x M U 6 7 d u 3 S p Q h s T N P o 6 B g d P n y o Z I 0 J X A A g m I 5 / 9 o c 4 Z d w h C o Z b 9 N 7 X h w A T P m Y Z 5 f 6 6 g I u W a U u M m o D J B 0 J l s y k 6 u X 2 F J h L V c y G S G c n V I q m U W Z t A V f 6 r I F A 5 M I 7 P S i Z g g U 3 E G 0 8 y 4 l M Z I M R + 4 f x F O n b s 6 K o F W 6 5 d u 0 6 T k 0 8 p G o 3 Q 3 v 4 m C o T s M Q c I Z L J T F L B Q y 6 b B u Q T T W q x 9 w O 5 S N T 5 U Q / v B N c 0 8 4 M c g l x U z i Q a a z 3 X I A M 9 E M k X n z n 1 L J 0 + 9 Q 3 / 8 z 0 / p 5 s 1 b t L S 0 J O m n n 3 5 G 2 7 b 1 0 M D A I J u F P R T N h r j i u e Z t A j v Q y b S d / N d 1 o + r I Q X e m v N T l q Z 5 o n + P z y 1 V i 8 g U P y j A j m E 6 G V F Y S / d i E s i K 2 s i z f f 7 g / S B 3 B N P 3 5 7 E 0 6 d a C V Q q G g 3 O S 1 A q M e 7 A i f J 0 9 J P Z P 5 d U D M P h n 1 g k e f s o k M k w 9 R v 0 y K 3 u m N 0 n R 2 6 5 Y e e J W o m h u 7 6 X R x i J G d y A Q E g o 0 U D D X J o N X z T x o o 2 H u E A o H A K j L Z O Z T + O s k E l L e h 0 V C Q J x N T h b z d p S p 8 q I b 2 A w U y V Q M 8 H h 9 d m 9 v G v 1 f 5 K Q a j C 1 v n X I e 9 a d r f O E b R J T W Q t I E 1 T L X D e g a S R 9 V x B / A 0 9 l I 4 v b S q X 9 h R q s K H i s W w 7 s P q q J 6 d A W 2 E J 2 m c u T F L F x 4 m 5 U b 0 4 9 m X 0 6 Z t o a x M T D z R l 6 B w 7 C Z d m g h R Q z B M h 3 p S d K w 3 R Z 2 8 v 9 q h a g c j + 7 h 3 i h C N L e J G f n X E z h 1 / u 3 L b 9 j 0 0 7 d 0 v y x 2 D V O W a y s 4 E w 2 / b F X p G 6 e g M j Y y M U C y e I 9 / g L 8 j r r 7 y q 7 F r A w F e I A S K G e C T O b K 6 b 9 n U W y w 3 O P f J R Q q 9 K + z x g p L p Z w f a 1 g + s r y z 6 U G Y K E 0 S r w o e B P 9 e T v U X D H X n 2 g f c G E + s H W h H I H O m g l 1 b K l Q 4 1 + T H y 8 K 0 H J r K M w U g H L N G 9 2 g i D m W b m c 6 v 2 o g y + / / I p O n / 6 Y v n g Y o J P 9 S Q r 7 1 q + D 5 Y S D b k 5 6 Z a p H V z g n A 2 i x L D U m 8 g 2 1 p + V J 8 3 a B T D Q s I Z S 6 J 0 W T Z 2 j P W 4 c p F 3 j 9 9 + / W g + 3 n Q + V c 7 a u 0 U j X h q 2 E / f T f i o 6 T W A s H s B M X G L k r e A N P e 9 3 a m q S 2 I p y j q Q g s M m Y D 5 + T k a G B j g 4 9 S B o / P P J 0 O j P 0 / v D y R p e 3 O 2 M B o d s 4 J P 7 0 7 Q z B Z M 7 d 8 y c B s r U 0 9 B c n p z x b + L F q e f l v Q N O 4 r j i 6 v 2 1 l A Z 3 3 5 K J J J V Z + 5 V Q o g 1 S W f 2 D j U 2 N p K / s Y O e z L t o X 1 d G 5 l p d n f B S a 0 O O + l s z N D o V p Z t T D d Q U C t D 7 g 8 k S R x f 3 t y K R Z f L 5 f N T c 2 s k E 0 T t e A n Y I 5 Z u 2 z E v Y P C v a K Q f t h G F I b O 7 D 9 O t z P 2 K z z 9 4 P G 7 B 9 U A K z a Y F q 1 V B W J N L E J M r T Y i Y s E x A P d C s y n W W f B 8 u U P Z h 1 0 3 T E S c 3 + L P X 4 F u i D M j I B W H O 9 s 7 O L b t y 4 R W 6 L 5 n o Z f M S a q i H 5 W G + 9 H o j C 5 T b W t B K R v O U U I 7 k w d w h 7 3 + T l 9 t K 6 y o Y S a O 0 T I t U C m Y B M z k G L 1 E M P 5 4 P y + J s f 9 L R 2 6 2 N A Y 4 k U X b p 0 m X a 2 S / + q C G j q Q G D 1 s 6 d e F G 4 H m 4 S H e u g T N g N f H z C z b O 1 2 x p 7 Z V B M l 5 r B 6 7 + q + Y h d h k + + O b X u r u 2 k f m z c Y V K r W a i g n V 6 0 Q z Y p Y d J m O 9 y V o e 8 f 6 q y V N T E z Q 7 d t 3 q K W l W Y Y 0 B Q J + a i 1 b p 3 2 j w B r v 2 W y e G h q U 6 f e 6 T E A x 6 V n M n C i T I i i R Y Z M v y + l Q 4 x T 5 e n b r d 9 g P j i + u 2 Z d Q + Y Z 9 8 o y n S s O N a p F M V v x s T 3 F a / V o w v g b S x c U l r p M c t b W 1 8 Q V I T W 8 J h U K y R N p 6 w M U K z 8 N C Z z b L p 0 W T z t e y L q A i l B p 6 Z K Z x I L U S a n 9 H h F x t a t K n H S F r j 9 h V u E / U D Y H K g f N / H v C M K 5 / P L + Z f d 3 e 3 L H t m n s a I e V o Y A f 8 8 l J M J C P l y d G r b L E W W 1 S i M j m C O X G w W Q l u 8 a h T a G y / O S q o K J J 1 a d q / q J 3 Y S W / t Q u Z z S S P V K q s 0 A h B g c 3 E V D Q 3 u o v 7 + f l l h j Y T z h R v D / / v i p z O X K l d X v T / u j s k T 0 k d 4 U n R 5 K U k f i s q x j U S m 0 v z W w t L N k d Y o + o D I 0 H V 3 d T + w k 5 U E k W + E N g V 4 M 0 D g + n 3 o U z 3 p A / S 4 u Y S 2 N I F s D O S a h e j Y W H o t 6 5 c p 1 8 r L 2 M 8 B n u l x O O j m Q l + A F l r H e W i j y a H 1 U 2 N b / B M K z 4 q Y t Y d s b u 9 7 G H m n w e i Q V p s 2 / z A P X Y A r C / I M f Z Q A / 9 O u v z 9 H k 5 K Q Q B o t x n j l z l q a n p u n 9 9 9 + l V v a 9 z p / / n r J M H J i K B w / u p a b G Y m A E N 5 I R v J A 8 y w c 7 o 5 R b G p b t L Q H I o k l k 2 l 1 e e h v l c g T n E / P P S v q K n c S 2 P h T 7 p a o i 6 x B 4 M M H L P B I U h N q 1 e 1 B 8 K Q M E J w 4 e 3 C 8 O / 6 P h x 0 K e U 6 d O 0 p 4 9 e + Q m M Y L W C G K g B / v 9 f r p z 5 5 5 o J Q M Q K h Q K 0 8 r K i m w / e / a M T u 0 t P p v 4 Z Q H y 4 L t V m + t 2 1 y R S / 7 F f b U 3 O Y 0 T F 6 j 5 j B 7 G t D + X 0 N t Y t o a C h X g b Q M A i p h 8 N h X a I Q D I Z o e H i E 3 j p 0 k H 7 5 y 1 8 I c Q w w G q W / v 0 / I C N / r + P H j 9 L c v z s g + t A N k g f 0 y a D p o P j z Y u 7 F x i 5 4 + q D / f k A m J b E t e l 1 v S p R j q p 3 K / e d 1 i W x / K Y q 2 s A u q 1 V r G t K U t H e 1 8 u m o Y O / 8 4 7 x 2 l 0 Z F S X K E A T d X V 2 0 O X L V 3 R J E f C 3 Y A o a B A I N 9 O E H 7 4 l G O n P m a / r 8 r 1 9 Q Z w e W v 8 7 Q E v t d + w + o k d 9 d W z B l B M T R f 6 v I o y B H q J T L M N n U r r C t D 2 U I h Q q U y i 1 B + X Z t I J 9 a p L 0 d x S d u b A Y r K 1 E a H x + j a 1 e v 0 w U 2 5 6 a m Z u j K l W t C L g O Y c G P j 4 7 R 9 + z Z a i U R 0 q U I w G G Q z b k q m y W C 8 4 F X + n M u X r t D D h 8 N 0 6 P B B O v 3 J R 9 T S p D Q e 2 g P L V Q O H t q W l y V 4 G a F 5 F K i W K P q r d C + 0 v q R y t t s v 6 i 1 3 E 8 d W N e / I z 7 Y a c f w 9 3 E i w l p Z Y M A 6 Q i L W k t A T 7 M k P 8 h P Z 2 Y o I N v H W B z b X P P l R p 5 / J g S e P x O T 3 f h v X / 5 7 H N 6 5 y c n 5 L G n i X i c 7 t 9 / Q L 2 9 2 2 h w U C 0 7 X Q 5 D p P b 2 N h o Y 2 C m m n x n V b o A 1 H 7 A k d T l e Z n Q F p m v k 9 F L M s o w Y b u 7 i h r W Y l 8 X 1 J e Q G b z p B + W y K T p 2 s f A 6 v G 4 4 z N + 7 b s n d m f E N s g t Q H o f A Q A C z s D 8 T j M b p 0 6 S r t 2 r V T / B n 4 O U 1 N z 1 9 2 b G x s n D X S V f r w w / e p p U U t x A l t M z 4 x T i 4 m A D 4 H o y i s I y d Q j + W E w S N S g 6 H Q u i F 3 6 9 M d g e n 5 K N 2 Y b d d b m w N + Q 3 F x F r S 1 m g 8 l o 8 1 B r s J I C R A s R e l U Q h 7 M 9 v 6 7 9 h x + Z F s f q p 5 g f f R N Q 0 O A j h 4 9 I g T A K I Y H D 4 a Z K F d o U d 8 j q g R 0 y v v 3 7 t O v f v V f S s i H 9 Q E H B w b l R m 9 X V 9 e q Y U j c l X V O I Y V Q O 3 f c 5 9 2 / 8 l j W H c R a g 5 2 t L x j t M x d I / Z I c C I Z y n Y q U 7 Z P 9 N o V t f S g b 1 1 k B W 3 F z E 8 s 1 N + k H a R u E w y E Z 6 A r B Q w i i 0 R g N D z 9 a k 1 T Q M r v 5 u B v X b 6 z S O O s h q Y c m I S o I z Y j n W z X z d z 6 v w 4 L o a i X c t I T S A Y y o 2 E w w x R B F v k u L y c u + c p F R M 5 Y Z 2 2 X 9 x S 5 i W w 2 1 i X 7 x 2 m A e L P C i w D m + 1 7 9 + E M L r 9 Z C X O / B b b x 2 k 6 0 w Y m H a V s G N H H 6 W 4 g 8 P M 2 y i w B v v C 3 K x o Q 2 h G A y y I I p 1 2 H S w t L f A F p b T 7 p L N 5 O r W T / R u W V t f z H + s p 3 6 E J o q R I m N V l 1 n 0 v W f G v E E 6 1 v o z 9 X l x v N Y / n n S M 0 w A 8 / 3 B H t g 5 D 3 B x / 8 V G 6 o j o 8 r U l k j e O h o s V j 8 u a P L r Y C m a a g w r 8 r r 9 V E k E q G l h b V J 0 d b W Q U 7 2 8 a z o a c z J w + A g g 2 0 J e m 9 n k j v Y O i c p f D I k s U o Z s d j H U m l x n 7 W v 2 O l l W w 0 F b M Z 8 q U Z g m M p a i / X j / s / Z s + c k I o e o G w D f B p o K N 1 X v s c / 0 1 7 9 8 T h c v X q J b t 2 7 R 8 r J a v R a B j M 0 A j + G p B E z T x 9 M c Z 2 e w y O T m E Q 4 3 y c M I j m 9 P 0 0 B r Z k 2 L g y m i y G I R / s d / I E 4 Z s f S 2 M N G m c J y 9 9 c C W v y 7 t 3 k 1 x v f R y r U f 5 f j Y U L 1 w 8 Y L Y 9 u P + A t c 0 K 7 d u / n 8 I Y D l S G p a V l J o 5 T T D X U D 3 y g m z d v y 4 3 X v f u 2 d q k t a M H N k h S / q Z K m n J + d p d b 2 d h q e d d O j O a e 0 q 5 p Q i O i e D p m z m C i f m h e F c L m K 8 C H a h y g f 5 V L 0 8 c e H 9 K f a C 7 b 3 o d D R y j V V L W m u l c g C z c w t S B 7 E O P v V W e r u 7 q K 3 3 3 6 7 I p m A p q b G w u R B R P L u 3 r 1 P e / c O U R t 3 1 q 0 E b h Z v l k z A c m R Z 5 4 p I M z F a 2 l T A Y 7 A t T Y d 7 2 N c T r V P U R o p g x e 2 C q W f 2 6 X K n j E C 1 J 5 h Q + H E 2 l G y k p o h T C T 5 3 n g 6 3 P K N s W g U m o t E V O n b 8 q N w v 2 s i 5 4 8 q + u L A o g Y s r l 6 / K l I 2 t h F k g Z z M A A V r 1 f T A r 3 C 6 l s R Q x 8 t Q W w A I 1 R T N O E U l v W + b B C a k M s X T q l v C q p a / Y S G w 7 2 r z G u S Q 4 s i 1 F o X C I n k 5 M S v D h z p 0 7 G 5 o U C C J N T U 3 R F 1 9 8 R S s w D d n M O 3 n q J 2 I C b h U Q E I E f t R m A L O k 1 o o z m A o H U k O X k 9 i V q 8 m X 5 q q 4 J Y 5 W y M H m R e J j m H 6 7 c Z + w g X 9 9 + a E + H x O G h S H o b Z b j z o A O Z i j W w 5 q s V b c E s H d P 3 b n C P C e c J 7 b Q e c N 4 X L 1 2 i / h 0 7 q J 1 N v B c x y T a C u d k Z N i H V e L 2 N Y m Z 6 S t 6 z 1 o 1 h / H b 4 S u h 6 O F c I S H h / y k E j c 7 h Q w H + C H 2 W G H i k / C m F 8 r C e R Y U 0 O e e s g H s H 6 Y g v S v G r Y N 8 q X t / f 6 a 1 u B W N L J n U z l 8 T T E 5 5 E J i M f j M p Q I I x 9 e F Z n Q 8 V v b N u + P t c i q S 2 t f 6 L A H Z i S m 2 m N s 4 e L i P C 0 v L V F 3 M M b f y R r I m H a i j Y o a C Y K x f u a Y r k 7 7 L s d s X x 8 K g j + L 7 V d r P l U 8 4 5 A n S x h S P Q / o Y J h i g Q c F v E q s r G z e f 8 U N Z R A 8 k y m d z o H I X j S i Q v o 4 0 T i b q C C F y + 1 W o f V Q S N 5 n T D w V m F C p k Q K p R N h E l A s J f p / 9 x L 4 a C t A 9 r d a I Z M X 9 G T d 9 8 W B j v k 8 0 G p U R 4 Q c O v N r l i B O x u M 5 t H B g 1 g X a y j p 5 A 6 B u R v a A e n g R S Y e Q 7 S A Z f a 3 F h Q Y Y / P Z 5 O C p m K 2 k m Z 9 y r P J E K q S c X / 5 L P s C v s G J V j Y z W W p f V L h D B / P P 9 9 8 Q 6 A A U z P i 8 R V a W l 6 S + z W v A h i S t G m Y 5 u F 2 i m K U B f u E 1 s 8 x J H G 7 v d T U 0 i L E C o X D k k 7 H A m q / k E Y / m F y L y R v t B I J Z + 4 j d x N Z P 3 z C 3 G y q R q d Y I N j z r K V m S u R I Q A b z z A 6 a 2 N 1 F T Y 1 P J 0 B 9 c 8 c 0 i K u s B x 4 C I C / N z u m Q 1 Y I a B v B t F I s F + n Q 6 L w 3 w D U c K N S i s B h k y L / J 0 g R X R 5 W W 5 g g y T w p R J p F a w Q 8 u S Z N J L X 2 4 W 8 K n e 5 u I 5 Q T T Y V W / t Q I f d T u S L V C 2 5 N r j 8 O D 2 H x n m 0 9 N D M z o 0 u K w J Q K j M F b j 1 T o o F n 2 c U B E B B A i r O X m Z q d l g O z Y 6 C O W x y K 4 W c w V L 8 d v B H 5 / 6 f A l k E e 1 o f K t Q L j x + T z N Z 9 W N 3 Y Z g k F a Y V M C 1 y a B o I E U 6 a C H + X u S l r K i h h F i 8 f f L U W / y u 1 X 3 F L m J v H w r Q j V r L J p / B X M z F W k p v r A F E 9 2 7 f + o H G x y e k E 8 K v + v r r b / R e N b B V i K P N Q Q w D m m P C Y E w e w t k N l v t c Y d Z y L a 3 t 7 O e 0 U 1 / / I M u A C A C C o s 7 x H f g 8 s + S z m r a B G b Q q v L 1 Y Y Q A t y v F d i l h 5 G l k K y T O q + p r V G v X 4 P A e b H 4 u L E Y r J g A l N G h B J 5 0 E q I Z M m l e R Z m p q 2 b q W l V w F b + 1 A Q N A j X q g g a 2 E q s W i T Z w 9 n 1 t R S G H b 3 3 / r u c y 9 O 5 c 9 / S 9 e s 3 Z b S E F e j M 6 P i Y 8 n 7 2 7 D c 0 P T 3 L H X T z 1 0 5 T 3 / g 8 + E M w 5 z D c C V F G R O m w 3 V T 2 p H s g H o t J s A E k x v u 6 w y l q 8 C g T z g h G u V + Z b i k p E 9 O O y W j M O + u 2 K c N T 1 q 3 9 w 2 5 i a x 9 K x F y 1 O F s P m F h y c + f X G 2 s A J t n 2 7 d v p 1 K m f 0 L v v n m Q T z i n T L T D i H F F A j K I 4 x 1 q r q 6 u T P v n k I x m t v t Y o C s z S f V F A o 1 S 6 q G E K P S Y r t r Z 1 0 M I K + 2 Q e Q x i l d a B 9 b j 9 D q F x p o I K Y b T k W K Y i k i I Z 8 g 9 9 T u Y / Y S G x v 8 o U b I l L B 9 Q Q 8 z X A j w H w m d O i 3 3 z 5 B y 0 v L d P n y V T E B M X f q k 5 + d Z m 2 m 1 s 2 D J s H o 9 U r A 9 A 1 0 W q w k u 1 k Y s 7 I S x L R j C f t A B h D F 4 i N l c z S 9 D H N S k 0 h I Y x E 5 z k o m l Q 7 t 6 d O f b l / Y O i g B 8 b p S X M F c q S w G 1 q t i p S t k t W M h 5 q R n k Y 2 N g s D 5 Q x P 1 b u + V 6 f K I B G L U h b V e s E o R 1 q Y w q 7 6 W A y Y d R l 9 s F u t V f Q l B W L D E M w T 5 M w / V E z 9 K p U i g g p m H l M V M 6 d g 5 s J 0 / W f U L u 4 r 9 g x I M h 8 U c q B f c f s a d b p N 2 L q Z 9 Y B k w a A M r m p u b 6 P j x o 7 L v u + 8 u y K x f d F 4 r N j P T 1 w B + 0 t z M j I T Y M S Q K D 9 S G p j M k M W 1 W y L M M z z p F A x V M O 9 O 2 I l q b I c U Q J S E Z y r L c V V / N P b e t B n w 8 u d L Y W R r Y b M A V C p X N L a F / e m 0 D p z k y v 7 l O j o 7 d 3 d X F d c a V V g Y s Z P n T n 7 5 H 7 7 x z Q k y 1 L 7 8 8 w w S Y F x 9 q Z v p Z S f R v o w g E Q 9 T W 0 a G m 0 r P p 2 N z c Q s l k o k C o S v J k g U 0 9 y W u y Q A v p v A g 0 E q d Z v Z y Y m X T Y 3 t a 4 q l / Y U a p C Q z U F V r i D q Q q v D z o p P J r b H K E w z m 9 b b 4 / e q g x o o t 7 e X j p 9 + i O 5 R / T o 8 c g L L T Y D c l g h P h O X t b S 0 6 d B 6 R s i K v J V Q 8 J + Q K l K x a A 1 m F d l n 1 V B M r A 8 + f k d / k 7 1 h e x / K i A N O L S q X p V x L 1 a I f Z b C Z Z b x B k H J z b y 3 A b 8 J T D / f u 3 U O 3 b t 7 W p R u H d S S F I d N K N E o L C / P S H h C n C w N / 8 x S J L J W Q x Z C p Y P Z J u x Y J J J p J U j W d g w i y u k / Y U a p C Q w H d b T A l d C W j A T b Y c a o d 5 x 7 5 W Y O g s d Z H M p m i k Z E n E p D Y D B A V b A h U X q h l L e D Z U 4 g k A i A G b v J i C B F u + O K J H I o 8 i h R o p 4 a G o L z n E f w n X S 7 H w L z T 5 D G B B 2 P i W d P 3 3 j 8 m 3 1 U N q A o f C u J 2 M Y F M Q 7 D w J U 2 f g k K t a i m Y Y 2 e G f R R J r n 9 + 5 0 d c l H f 4 N 1 0 P 8 K 3 Q q d H h Y T I i u L A e x p + M C p l A F K W Z O O V y 3 O j F q H L T P o V 7 T l r w u 0 b n H R Y T T 7 U l L A 6 V m j I t Q i 6 V 7 9 0 O v 3 B 1 n 7 C j V I 2 G A n x e N J K q Z K W h 6 k N L I d p 3 Y d R H l 8 a 9 l M x w q 1 X A s b 4 c 3 X 0 8 S d N z p U / V 2 A j 6 + 3 e w q b Y g 2 g p m 4 1 p Y i U Z o + 4 5 + C 5 m U 2 Y Y U 9 7 k U U a y i j s E c K U y T M u a e V b C / E J j Q / p V o L g Q l W M J B p Q m r B V X j Q 0 G 6 2 2 B r W 8 0 B 5 U 8 p c v E R u E T U M B Z j T v r 6 k Y + + f O h f R S x n L k m 7 B 3 q p s y 2 s S z Y G + F J Y + x z + F K J + p i 6 l f t H Z d f 1 i k i C i e m Y b + z D 7 V m b g m j x S L e b C B + 0 H 0 n 3 z 2 K 3 K D H m w T 0 i D V J l 8 I j J m E N P f e R / n f / m r j / j X l P Y D O 0 t V a S i A j Y Z C g y h R j V 5 P g B k I Y l k f I T M y M k o n D r 3 c I 1 7 w e N B H j x 7 T / N w s Y T o G y G a A A A N g y A T B g F n M w I V W w 9 A m a Q u 9 D w J i w Y Q U s 9 C U i 0 b j d g O x Q E Z J T V u C V N h W F 0 1 E d j H K o 5 p Q d Y T i i z C b C F z Z l o a Q a J E m V a 1 r q X J 8 + 9 g r w Y j F x S U Z D P s y A I H i s Y S M P i 8 H 7 j P h J i 7 W D s T C O S A H 6 h p j 9 v C + c j I Z w S i N b x 5 B O 2 H b t J n Z r 9 q v U C 7 7 i q T 6 9 W / + q / 7 2 6 k H V B C W s w l 5 F 0 U Q A u b h x R O p M U w G x t J N c w U 5 5 k j t G n a / n A 5 U D n R r B C A y s x a p L y 8 s R 2 r N 3 S I w X w N S n 0 U o y 0 9 b t p k Q s x t + D p 8 y j H Z S P p P L K x A M x s I 1 J j P N s p g o B j Q h 5 l A a C W N t R p o T A 5 M t g T k e a P B 5 3 x f a 3 s 1 S V D 2 V k q N / N B L I 0 j L 7 K K V K p K 2 c 9 I U 5 h O e d j x 4 / Q X 6 9 M 0 3 R 0 f c M D B D l / / o K Y i S A T t q F l P v 3 T n 2 V 6 C L b L x W i V h f l Z r Z V c M h c K Z V H L f S Y I T D 2 Y g 5 h 4 e H t S a a + C J h K x b A v R i u Q y + Z / / 4 q f 8 S 1 e 3 v d 2 l 6 k w + A w c V G 8 G s 3 6 Y a R D V Y P Q E r 0 A J 4 k n t P W 5 B u P P X S z D q k + v 7 7 i 3 T s 2 F E a H B y Q t f 2 w o C U E j x O F B i o n k m g d n Y b C z S r P g q n u I I X L j c G u R k t h s U t M b 8 / T x T G M Z N e k K Z D H G o C w p J L H W v Z p w i z 3 r u 7 N r Q l o F 1 Q t o f Y M w A k 2 V z R L o 3 F D Q 1 P x d V g d W A f w 4 h 4 d A y P N e x t T 9 L O h B H W E K l 9 U Q I q W l u b C j V k r s A o t U K 6 V j K j o 3 e o y P E Y U Z h 9 M P L Q B c G H U Q y k u U 8 c V 2 8 e Y h I X 2 M u Q S Y q X F P / 6 X 3 / 2 D f E Y 1 w v 4 T D N c R n w f 3 e r k h C s R i E V J B 6 k d L j S + p S B i 0 z M M H w 5 x T B M O 9 J U z Z w D A h + F a Y g D g 9 N S 1 j + c o B A g U D r N 1 u 3 K T h h 8 M S f C j e n F X r A W I h m I z U N 5 d B G + k U i 7 r g / b f m W u j 8 Y z d 9 P e y m Z F q 1 g Z V M V g G x D J G k D Z l M S H 1 e F z l t v h D L e u L E h O J q f e 3 e G W B G c Y O I y a f u X Z Q 0 E g t 8 q l r H 3 g 6 M d V P A 3 C i Q 5 9 K l y x J y R v 7 O n b t 0 8 f t L s j / O Z i H K i l p I k Q b 5 U + + e p A M H 9 l N n d x d N T D y V j o + g B V K M K I e f h e O W s W w 0 i C G k y N J y 0 i U j N b B q U y J t I Z G 0 g y E P S y H o g L b R K W / L e h U s e S 7 7 l 9 / 9 o 6 W F q + 9 V t S a f w Y 7 e g G 6 0 I p F M I 6 p G N c G K o l 9 Q a 2 j w F M + p s a m R n j x 5 I v 4 R N F Z L S 4 t M P N y 3 f 5 9 s D w z 0 0 + P H o z Q 7 O 6 u J p O p G a X S 1 K I u b i Y h p 9 X N z c 0 K i E l O P N Z L H y z 6 T 1 l B f D 3 v o + r i L E i l N J B G T x / G 6 D O 2 i i a b a q d h m Q j I m 0 0 9 O V c + Y v b V Q 9 Y R q D C O 0 q h t M G s j k T U N y w 3 E q f l U N k o n 7 O 3 m 0 D w V 0 d n b S 8 l J E y G O A e 0 h t b c V H z B w 9 e p i 1 V J o u X b w s T / 0 o n 2 I B Y j W G G 3 n f X V X G 5 C n u h 4 / k l B u 2 Z x 9 6 p L 7 N e D w 5 T u q / W P f K z 1 X b 0 j b a P C 9 q K 5 h 6 C E T k a f / B 3 f L 7 q h m O C w / H a q K X X b s 5 z + 2 M K y u b J n y F V X f 6 e V u L g 3 s e r r Z I H Q 4 I j N 7 q R 2 s g R 8 e 3 q 3 t P 8 J n u 3 r l H R 5 g w 1 s f i G K 1 s T Y 3 A r 4 L f N D C w U y J + X D F y 8 T G P G M X n m H X y F K H y B c 1 U I B I L 8 u b C Z S 5 i h l z Q P k j V U m S K S H g a o U q T n C b p D / / x G / l t 1 Y 6 q 9 q G s r / 1 D T d x o u P p x 4 4 m N b h F c F c 0 V E q I 7 g n W E R b X C + u s x r + n d 9 0 6 t I h P E k M E Q w A h G m 5 8 8 e Z L G x i a E O M a U u 3 z p q m g w 0 V 5 c h u A G o n m o z 6 t j L n 6 v q k O V 6 r z R U N i W t k C 9 I 0 X d 6 2 3 T N l p D o b 3 + / h / / z t K S 1 f 2 q e p P P w O 9 3 k 8 f J n Q F X w Y K Y h j O N x 6 l p W B H V + M b H 4 n 9 K q i j k 3 t + i A h L 4 / U a r l J L I C L Z V x w d h r C M b E N V D M A L 1 A M 0 y O z P D W u 4 Q N T W r m 7 w 4 B g t f + v w N 8 r 7 l u C K O E A N 1 a K l X V c Z i I Y 4 J O i D N Z P S z n u S Z u U n y 8 e d 2 d m 3 t o 0 x f J 2 q G U M D h t z q 5 U 6 A h N Z m Q F h r a X C W t m g q m C n c O 0 V Q s 8 t K c q h J S N T W o K C Y 6 f n E 0 u N o u F X X R E H L J u a v z x 3 A j B D F G R 0 f p 2 r X r 9 P 2 F i 5 T m u s N Q p P 3 7 D 3 B d 5 W Q p Z W g q k K 0 Q f N D 1 J 2 m h P l U q 9 c v 5 Y p 2 j / l n 0 R U 4 R D M O L s v S 7 / / F P 8 v t r B Y 7 v h 8 e r 5 3 K 8 Q X x / 6 S k 5 x I d i k Y h V 0 Z 9 S v p T F p 2 K f Q X y q Q l 5 t A 3 b 1 s 0 A M A L d r T g 8 l e J t 9 y G t X a e / e v T L q W x F I j h Q z D h u K T K X k K p Y p b Y X 7 V V j b 7 / j x Y 3 L u K B f S i N + U p Y W Y g 2 4 9 V Q t U G k K q V G l 5 c 8 F S Z D I X L 0 M k + E u K S N B O u N X x v / 7 v b 2 1 b x y 8 K J t R E z R E q n c 7 S 5 W u T T B J F J g Q o J C / b S F V g Q h G L 7 V 4 J U o B U m k w F Y r H w C 3 / 6 H 3 Y V 8 j 8 2 Q I B i m q d t j R n a 3 5 W h 2 7 d v S 1 A B Y + d k D / Z r w l h F g g s Q 7 v y F M k 2 o e D w h 8 6 E 6 u 6 D l F Y l k q g X 8 I k 4 n F h 0 y h V 3 t U 0 R S J D J R v q J m U k S C d c A p N B v M P G g m C U Q o + f V v / 4 G a W z b 3 D N 9 q g O 3 X N n 8 R 8 X p c 1 L c t x A 2 r r o y Q g p 0 v D V y 8 e k q K z q A 7 h H Q K q 0 g H 0 R 1 I r t i m Q x r R n V Q L / + N f Y G S L Y D 6 b P 9 O k K N v X C Z 8 k Q w s L S + T z q f l I 5 n e L j y Q d v i j F c y r u w 3 n B 9 8 I g 2 Y 6 O D s t 7 9 e d w O j b P Z J p x 6 H 1 4 v / k O 5 L k + e V v V m 6 p j p Z U g I F W x D c R / Y t l / Y I h a m E y V 2 q 7 q 5 W I N a i i D y 1 e f s M 2 P k d Q w / Z S W M h P n l M Z C q j W V a C S 1 X d B O W l B V k m I b 1 S Z / K J d d G r q k s G 0 F C k 0 1 V z p g j S Y A b y w Z p p M l z d M H g 0 l K x J Z l e g T u G 8 k e T T 6 r p D N E i 3 E i v y d H f j d f B L R W w r 7 5 h Q X W H B k Z x 4 c L B 5 7 u g X q B V s p m 8 3 T n m Z P m V / B 1 I J 8 S p a U U s U A k C Z k X C G U h l h D K a C b O p 5 M U C g X o X / / 9 n + W s a h G O i 4 9 q l 1 D A h Q u P Z U i M M f + U y a f E k M o Q S w g l J M I 2 U p 0 H C S S v B D A E k 7 w q 0 H m V F m D d N D W N M k u t c / f W O Q u k S O 8 B M X S q k j w 1 M D l O 9 S f p y p V r d O j Q Q T k f O R 7 H V p C l u I N C s s 4 4 t h W Z Y A L e u n m L N Q Y i f E w 8 9 n H u 3 L 0 r U + L 9 P h + d H 3 E z W a 0 k M n k m E I s y + V j L g 1 x M J M n r V G k l E A u + k 9 J M w Y C f / u 3 3 / 0 3 O o V b B h H p a o T V r C + c v D F O K r 9 J C J N F Q m l R M r o K m 0 t p J / C n t S x U I J C m 2 w Q X 4 W P h T 5 Y U 8 g O N U T u 3 T K O Z K U V L x 3 L k N r O R R J C l N k W l p y N G u p n k Z s Y C n x x f J g 9 0 6 j 5 c Q y I g m k i 5 D J A + j z t 0 e z C 9 D O Q j C / i e T N N v 2 N t c Z y h R x l D 9 l z F 6 V V x p K k U j y Y k o r 7 W R C 5 U Y z B Q I N 9 N / / 8 G u c Q E 2 j p s L m a + H U y V 3 k d q L B i 4 2 c E d u + a J a o j q F S d K p i q q 6 + R q y + h b k y S 8 p S X F Z Y d z g W 4 7 C b q 3 t R L P v k f e X l K m 9 N i + U 5 m o 9 h v b s G u n f v A f 9 G 5 Q / B L 1 L H a u H P F f / G i B x n 8 l k a G R m R A b R y n B a M t o i F D 6 v R 4 l I n 6 n j 1 G 8 1 x p p 5 4 v 2 g h F l 2 X 1 n t N I p w P s G a q B z I B j k t 1 o K E M z n 1 z T / w J a C U H d 6 S S 6 J / W U i X m X 5 m m E o G + 0 X n o H q X B J K e + R M q l q J D f E F h j S C L / G Y V t q B y d s 6 R D H W n q a c z I T d m B w Q E 5 H u V F b c S C l 0 V D y f 0 2 v Y 3 p G b P z i 9 T V y d o N 2 o n 3 r S S I r k 1 g F I Q y 8 Y p + E 0 h e J L Y h l y K i J h b y h Y u T M v N A y C B r p n + v E z I B j k u P 6 4 d Q w L d M q n g K j 6 Q E i a w + F Q h U J J Y y / 5 g m s g 3 i W M L p w i C V B 4 r k k i 3 z p / I G l u w q F F p A Z e S / / q c S X W 5 J P x x M y N 5 r V 6 / R k S N H p E x e S E E a a x 4 p i 5 V Q y N 8 e j b C G e 0 i N 3 X v J 6 1 f P u l X H M I F w T D m Z h E g m D + I o Q h l N p q J 4 i l A 5 z m O A 7 u / + Z + 0 G I C q B C T W p W q m O M D I y R Q 8 f T r H B a w h l j f z B r 4 K m A k E M u U x e k U g I h B Q v S 1 6 R R n K F v I E i X S W g g + t s A d Y y z s g f / s l / 2 t 6 U o Y H W N I 2 O P p H J g v h 9 I I D s L 5 P i v S e k I I z K g z i z E S f d n y 5 7 v A x L k V i a P A U S I a + 2 x V 9 C y B y p k E t F 8 x S 5 0 n T i 7 S N 0 8 v 0 T 6 h T q C H V J K O D J 6 D T d v f + U O z q T y G r 6 I V D B 5 C k x / U A Y i 6 Z S K Q i i U s m C P M h L V q d S J h k N U 1 6 E q n x L E 0 i W O 7 1 s M E A A n Q J e V 4 7 e 2 Z E U k l y 7 e p 0 O H z k k 5 d i W Y y U B Q Z C H l l G p 5 I U k x X Q q 4 q D h G U w a V M e D L L J f k 0 Y I a C G R k E W n x s y D z 6 S 2 2 d x L p / n U 8 / S b f / s n a m 5 R T 0 + s N z g u 1 y m h g E w m R 5 / / 7 R p r K q O Z N K k k r 0 k l G k q n I I o h F l 5 g E v J 6 W / 2 p V G + o 7 X J Y i y r U v l C o U K 5 I o t I 8 H e 9 N U Y M 3 R 3 O z c / L I T / x G H G 9 I s 0 q s h B K S Y L B r j q 5 O Y J p 6 s U z I g z w I I 8 R S a Z F M n A q h T G A C R N J + k / h O a Z m Y + P v / / R t 5 B n C 9 w n F 5 p H 4 J Z f D Z Z 5 e J + 5 g m F L Q V y K S J p U l U I J c Q q G x 4 E o t Q B 6 k h k Z B G c p z I / 4 0 D H V x n C 3 l O Q a r 3 d r J 2 4 h c e T u 3 1 e N X C / X g J K c p E k 2 m K T T u Q a H L Z w f 4 j P k o T R 4 7 R m g g p y C N a C W U W I q F c S I S 8 0 k y F A A S n G J C M i O M f / s 9 v 8 U v r G k y o Z 3 V P K O D i h T s 0 P b v M f V 9 p K i F X B f P P 3 K c C S Q o E E w J h G 4 J P w z 9 L X l K T 6 I 2 K 4 A 6 u E v O P O 7 Y 1 r w i F 0 e D L T C h M b y 8 h U J m A M E + X 8 N Q L t R a E I g / 2 K U L J M U w W l W p C g U Q 6 x b a Q S J P K a C U x 8 b R W w t n 0 9 f X S 3 / / z L + U 3 1 j v e E M o C d K w / / f E 8 d 1 8 m g y G V a C m l s Q q m X 8 U g B W / z Z 6 g 8 l 2 E L B S o n Z R s H O r 3 O F v J 5 6 m 9 O U 0 9 T l s b H x m V x f z H 3 e K e 8 k G o Z m 3 d R k z 9 D 8 T S e g q j D 4 N g H s u i 0 o K V 0 3 h B J l R k S c b 5 g 5 o F E y L N I J C 9 D f r + P f v 8 f / 0 o u V 1 3 c z t w Q 3 h C q A s a e T N P V q / e 5 d h S p j A m o i A V C a W I J m Y r E 4 n 8 q B Y k M m V R G 7 V M 5 C 1 C y u v o V f 0 w 5 S K L S 5 k C O n L y R n r l B + / b t k + O s R D J y a 9 J N K 0 l L m Z A G e U 0 i S d V 2 k U S a S E I i p Z E U s R R 5 j J m H b R D o / Q 9 P 0 u G j B / D D 3 q A A o v 8 P q U V 6 q N B K B k A A A A A A S U V O R K 5 C Y I I = < / I m a g e > < / T o u r > < / T o u r s > < / V i s u a l i z a t i o n > 
</file>

<file path=customXml/itemProps1.xml><?xml version="1.0" encoding="utf-8"?>
<ds:datastoreItem xmlns:ds="http://schemas.openxmlformats.org/officeDocument/2006/customXml" ds:itemID="{43BC81FC-A0A4-4E14-AF88-19441ACEC738}">
  <ds:schemaRefs>
    <ds:schemaRef ds:uri="http://microsoft.data.visualization.engine.tours/1.0"/>
    <ds:schemaRef ds:uri="http://www.w3.org/2000/xmlns/"/>
    <ds:schemaRef ds:uri="http://www.w3.org/2001/XMLSchema"/>
  </ds:schemaRefs>
</ds:datastoreItem>
</file>

<file path=customXml/itemProps2.xml><?xml version="1.0" encoding="utf-8"?>
<ds:datastoreItem xmlns:ds="http://schemas.openxmlformats.org/officeDocument/2006/customXml" ds:itemID="{35D7A7D3-2130-4038-8D8D-AEF9A6D50784}">
  <ds:schemaRefs>
    <ds:schemaRef ds:uri="http://microsoft.data.visualization.Client.Excel/1.0"/>
    <ds:schemaRef ds:uri="http://www.w3.org/2000/xmlns/"/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Precio Historico</vt:lpstr>
      <vt:lpstr>RESUMEN</vt:lpstr>
      <vt:lpstr>Flujo de Proyeccion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ARTURO</dc:creator>
  <cp:keywords/>
  <dc:description/>
  <cp:lastModifiedBy>Tatiana Silva</cp:lastModifiedBy>
  <cp:revision/>
  <dcterms:created xsi:type="dcterms:W3CDTF">2019-04-28T17:31:00Z</dcterms:created>
  <dcterms:modified xsi:type="dcterms:W3CDTF">2023-12-02T06:17:11Z</dcterms:modified>
  <cp:category/>
  <cp:contentStatus/>
</cp:coreProperties>
</file>